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NTABRIA\"/>
    </mc:Choice>
  </mc:AlternateContent>
  <workbookProtection workbookAlgorithmName="SHA-512" workbookHashValue="w5VJtCX3KbI4d8m7vsHRNBrifjAPyi0lg763DZBwAxq1gu8OhALlIpI5l6DfxT1ySr9OylelmgoiGxgJ5rm4hw==" workbookSaltValue="Z69TDF46vG+YnfMEQMqBC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N9" i="11" s="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AW20" i="21"/>
  <c r="R14" i="12"/>
  <c r="BD11" i="13"/>
  <c r="BF18" i="8"/>
  <c r="AN21" i="13"/>
  <c r="D20" i="12"/>
  <c r="ER21" i="8"/>
  <c r="N19" i="11"/>
  <c r="AE14" i="21"/>
  <c r="EL21" i="8"/>
  <c r="EQ21" i="8"/>
  <c r="EN21" i="8"/>
  <c r="K20" i="11"/>
  <c r="BA14" i="16"/>
  <c r="N10" i="11"/>
  <c r="ES21" i="8"/>
  <c r="G20" i="12"/>
  <c r="AQ19" i="11"/>
  <c r="R8" i="9"/>
  <c r="X12" i="21" s="1"/>
  <c r="AK21" i="8"/>
  <c r="EP21" i="8"/>
  <c r="ER21" i="13"/>
  <c r="AL14" i="16"/>
  <c r="EP21" i="19"/>
  <c r="BF11" i="11"/>
  <c r="BH11" i="16"/>
  <c r="V16" i="11"/>
  <c r="BF13" i="11"/>
  <c r="BJ18" i="11"/>
  <c r="BH16" i="11"/>
  <c r="BF19" i="11"/>
  <c r="BH19" i="16"/>
  <c r="BJ19" i="11"/>
  <c r="P18" i="17"/>
  <c r="BL18" i="11"/>
  <c r="BK12" i="11"/>
  <c r="BF17" i="11"/>
  <c r="AO16" i="17"/>
  <c r="S18" i="16"/>
  <c r="BL12" i="11"/>
  <c r="S14" i="16"/>
  <c r="P14" i="16"/>
  <c r="Z14" i="17"/>
  <c r="F18" i="17"/>
  <c r="AQ18" i="17" s="1"/>
  <c r="K20" i="2"/>
  <c r="M14" i="2"/>
  <c r="N14" i="2"/>
  <c r="F14" i="7"/>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T14" i="16"/>
  <c r="AZ17" i="11"/>
  <c r="AZ12" i="11"/>
  <c r="AZ11" i="11"/>
  <c r="X18" i="17"/>
  <c r="S16" i="16"/>
  <c r="P16" i="17"/>
  <c r="BF12" i="11"/>
  <c r="BL16" i="11"/>
  <c r="BL10" i="11"/>
  <c r="BJ10" i="11"/>
  <c r="BK17" i="11"/>
  <c r="BH11" i="11"/>
  <c r="BG17" i="11"/>
  <c r="S18" i="17"/>
  <c r="BM9" i="11"/>
  <c r="BH12" i="16"/>
  <c r="BK10" i="11"/>
  <c r="AY20" i="8"/>
  <c r="BF16" i="8"/>
  <c r="AY14" i="8"/>
  <c r="BD9" i="8"/>
  <c r="S16" i="17"/>
  <c r="E14" i="17"/>
  <c r="AH14" i="16"/>
  <c r="L12" i="2"/>
  <c r="X19" i="16"/>
  <c r="L18" i="2"/>
  <c r="L19" i="2"/>
  <c r="U9" i="17"/>
  <c r="U21" i="17" s="1"/>
  <c r="L9" i="2"/>
  <c r="T14" i="20"/>
  <c r="V9" i="16"/>
  <c r="T20" i="17"/>
  <c r="BF16" i="13"/>
  <c r="BG16" i="13"/>
  <c r="BB20" i="13"/>
  <c r="BE17" i="13"/>
  <c r="BE16" i="13"/>
  <c r="BF17" i="13"/>
  <c r="K22" i="20"/>
  <c r="Y22" i="20"/>
  <c r="AC22" i="20"/>
  <c r="AA22" i="20"/>
  <c r="U17" i="11"/>
  <c r="G14" i="14"/>
  <c r="U10" i="11"/>
  <c r="W22" i="21"/>
  <c r="AF22" i="20"/>
  <c r="U18" i="11"/>
  <c r="AL22" i="20"/>
  <c r="AE22" i="20"/>
  <c r="AG22" i="20"/>
  <c r="L22" i="20"/>
  <c r="M22" i="20"/>
  <c r="N22" i="20"/>
  <c r="U12" i="11"/>
  <c r="AQ22" i="21"/>
  <c r="AQ22" i="20"/>
  <c r="W22" i="20"/>
  <c r="AE21" i="8" l="1"/>
  <c r="BG16" i="8"/>
  <c r="K16" i="7" s="1"/>
  <c r="F11" i="16"/>
  <c r="BL11" i="16" s="1"/>
  <c r="R21" i="8"/>
  <c r="BG10" i="8"/>
  <c r="K10" i="7" s="1"/>
  <c r="BE9" i="8"/>
  <c r="H12" i="2"/>
  <c r="B19" i="6"/>
  <c r="M20" i="2"/>
  <c r="AL16" i="11"/>
  <c r="N20" i="2"/>
  <c r="F13" i="2"/>
  <c r="T9" i="11"/>
  <c r="X13" i="16"/>
  <c r="V10" i="16"/>
  <c r="X16" i="16"/>
  <c r="X20" i="16" s="1"/>
  <c r="X10" i="21"/>
  <c r="L13" i="2"/>
  <c r="L17" i="2"/>
  <c r="S17" i="17"/>
  <c r="BL17" i="11"/>
  <c r="BJ17" i="11"/>
  <c r="AQ12" i="21"/>
  <c r="BH17" i="11"/>
  <c r="BF16" i="11"/>
  <c r="BM18" i="11"/>
  <c r="Q16" i="17"/>
  <c r="BH10" i="16"/>
  <c r="S10" i="17"/>
  <c r="AQ10" i="21"/>
  <c r="BI9" i="11"/>
  <c r="BH10" i="11"/>
  <c r="Q18" i="17"/>
  <c r="BG12" i="11"/>
  <c r="T17" i="11"/>
  <c r="S11" i="14"/>
  <c r="V11" i="14" s="1"/>
  <c r="AA16" i="16"/>
  <c r="BV9" i="16"/>
  <c r="BU17" i="17"/>
  <c r="V12" i="16"/>
  <c r="BU18" i="17"/>
  <c r="BV10" i="16"/>
  <c r="U10" i="17"/>
  <c r="BW11" i="20"/>
  <c r="U13" i="17"/>
  <c r="BV16" i="16"/>
  <c r="BW17" i="20"/>
  <c r="BV17" i="16"/>
  <c r="BW13" i="20"/>
  <c r="BV13" i="16"/>
  <c r="BW9" i="20"/>
  <c r="BV19" i="16"/>
  <c r="BU16" i="17"/>
  <c r="T16" i="16"/>
  <c r="T18" i="16"/>
  <c r="BM16" i="11"/>
  <c r="BG19" i="11"/>
  <c r="BL13" i="11"/>
  <c r="AQ14" i="21"/>
  <c r="BL11" i="11"/>
  <c r="BG16" i="11"/>
  <c r="AP16" i="20"/>
  <c r="BJ12" i="11"/>
  <c r="BM13" i="11"/>
  <c r="BI19" i="11"/>
  <c r="BI16" i="11"/>
  <c r="S9" i="14"/>
  <c r="V9" i="14" s="1"/>
  <c r="V13" i="11"/>
  <c r="BM12" i="11"/>
  <c r="AP10" i="21"/>
  <c r="S9" i="17"/>
  <c r="BK16" i="11"/>
  <c r="V18" i="16"/>
  <c r="V12" i="21"/>
  <c r="AZ19" i="11"/>
  <c r="BK9" i="11"/>
  <c r="BF10" i="11"/>
  <c r="BK19" i="11"/>
  <c r="BH19" i="11"/>
  <c r="BF18" i="11"/>
  <c r="V11" i="16"/>
  <c r="Q18" i="20"/>
  <c r="Q20" i="20" s="1"/>
  <c r="BM17" i="11"/>
  <c r="BH16" i="16"/>
  <c r="BG10" i="11"/>
  <c r="BH18" i="16"/>
  <c r="BK13" i="11"/>
  <c r="BL9" i="11"/>
  <c r="BL19" i="11"/>
  <c r="BH9" i="16"/>
  <c r="AP17" i="20"/>
  <c r="R13" i="17"/>
  <c r="S13" i="17" s="1"/>
  <c r="I13" i="14"/>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2"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O10" i="11"/>
  <c r="X22" i="20"/>
  <c r="AN22" i="20"/>
  <c r="T22" i="20"/>
  <c r="AD22" i="20"/>
  <c r="AP22" i="20"/>
  <c r="AI22" i="20"/>
  <c r="Q22" i="20"/>
  <c r="T22" i="21"/>
  <c r="AZ22" i="20"/>
  <c r="O18" i="11"/>
  <c r="AX22" i="20"/>
  <c r="H22" i="20"/>
  <c r="G20" i="14"/>
  <c r="K9" i="12" l="1"/>
  <c r="K17"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Y20" i="11"/>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P22" i="20"/>
  <c r="H22" i="17"/>
  <c r="J22" i="20"/>
  <c r="S22" i="20"/>
  <c r="AW22" i="11"/>
  <c r="AV22" i="21"/>
  <c r="I22" i="20"/>
  <c r="I18" i="12" l="1"/>
  <c r="D21" i="14"/>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E22" i="11"/>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T22" i="17"/>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<sst xmlns="http://schemas.openxmlformats.org/spreadsheetml/2006/main" count="2215" uniqueCount="978">
  <si>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</si>
  <si>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</si>
  <si>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</si>
  <si>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</si>
  <si>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</si>
  <si>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</si>
  <si>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</si>
  <si>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</si>
  <si>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</si>
  <si>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</si>
  <si>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</si>
  <si>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</si>
  <si>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</si>
  <si>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</si>
  <si>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</si>
  <si>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</si>
  <si>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</si>
  <si>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</si>
  <si>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</si>
  <si>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</si>
  <si>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</si>
  <si>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</si>
  <si>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</si>
  <si>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</si>
  <si>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</si>
  <si>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</si>
  <si>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</si>
  <si>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</si>
  <si>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</si>
  <si>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</si>
  <si>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</si>
  <si>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</si>
  <si>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</si>
  <si>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</si>
  <si>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</si>
  <si>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</si>
  <si>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</si>
  <si>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</si>
  <si>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</si>
  <si>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</si>
  <si>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</si>
  <si>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</si>
  <si>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</si>
  <si>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</si>
  <si>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</si>
  <si>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</si>
  <si>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</si>
  <si>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</si>
  <si>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</si>
  <si>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</si>
  <si>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</si>
  <si>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</si>
  <si>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</si>
  <si>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</si>
  <si>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</si>
  <si>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</si>
  <si>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</si>
  <si>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</si>
  <si>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</si>
  <si>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</si>
  <si>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</si>
  <si>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</si>
  <si>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</si>
  <si>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</si>
  <si>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</si>
  <si>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</si>
  <si>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</si>
  <si>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</si>
  <si>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</si>
  <si>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</si>
  <si>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</si>
  <si>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</si>
  <si>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</si>
  <si>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</si>
  <si>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</si>
  <si>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</si>
  <si>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</si>
  <si>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</si>
  <si>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</si>
  <si>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</si>
  <si>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</si>
  <si>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</si>
  <si>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</si>
  <si>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</si>
  <si>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</si>
  <si>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</si>
  <si>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</si>
  <si>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</si>
  <si>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</si>
  <si>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</si>
  <si>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</si>
  <si>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</si>
  <si>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</si>
  <si>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</si>
  <si>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</si>
  <si>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</si>
  <si>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</si>
  <si>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</si>
  <si>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</si>
  <si>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</si>
  <si>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</si>
  <si>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</si>
  <si>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</si>
  <si>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</si>
  <si>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</si>
  <si>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</si>
  <si>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</si>
  <si>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</si>
  <si>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</si>
  <si>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</si>
  <si>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</si>
  <si>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</si>
  <si>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</si>
  <si>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</si>
  <si>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</si>
  <si>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</si>
  <si>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</si>
  <si>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</si>
  <si>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</si>
  <si>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</si>
  <si>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</si>
  <si>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</si>
  <si>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</si>
  <si>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</si>
  <si>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</si>
  <si>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</si>
  <si>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</si>
  <si>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</si>
  <si>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</si>
  <si>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</si>
  <si>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</si>
  <si>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</si>
  <si>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</si>
  <si>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</si>
  <si>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</si>
  <si>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</si>
  <si>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</si>
  <si>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</si>
  <si>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</si>
  <si>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</si>
  <si>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</si>
  <si>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</si>
  <si>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</si>
  <si>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</si>
  <si>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</si>
  <si>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</si>
  <si>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</si>
  <si>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</si>
  <si>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</si>
  <si>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</si>
  <si>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</si>
  <si>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</si>
  <si>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</si>
  <si>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</si>
  <si>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</si>
  <si>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</si>
  <si>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</si>
  <si>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</si>
  <si>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</si>
  <si>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</si>
  <si>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</si>
  <si>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</si>
  <si>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</si>
  <si>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</si>
  <si>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</si>
  <si>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</si>
  <si>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</si>
  <si>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</si>
  <si>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</si>
  <si>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</si>
  <si>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</si>
  <si>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</si>
  <si>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</si>
  <si>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</si>
  <si>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</si>
  <si>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</si>
  <si>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</si>
  <si>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</si>
  <si>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</si>
  <si>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</si>
  <si>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</si>
  <si>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</si>
  <si>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</si>
  <si>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</si>
  <si>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</si>
  <si>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</si>
  <si>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</si>
  <si>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</si>
  <si>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</si>
  <si>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</si>
  <si>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</si>
  <si>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</si>
  <si>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</si>
  <si>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</si>
  <si>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</si>
  <si>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</si>
  <si>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</si>
  <si>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</si>
  <si>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</si>
  <si>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</si>
  <si>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</si>
  <si>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</si>
  <si>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</si>
  <si>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</si>
  <si>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</si>
  <si>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</si>
  <si>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</si>
  <si>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</si>
  <si>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</si>
  <si>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</si>
  <si>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</si>
  <si>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</si>
  <si>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</si>
  <si>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</si>
  <si>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</si>
  <si>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</si>
  <si>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</si>
  <si>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</si>
  <si>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</si>
  <si>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</si>
  <si>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</si>
  <si>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</si>
  <si>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</si>
  <si>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</si>
  <si>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</si>
  <si>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</si>
  <si>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</si>
  <si>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</si>
  <si>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</si>
  <si>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</si>
  <si>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</si>
  <si>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</si>
  <si>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</si>
  <si>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</si>
  <si>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</si>
  <si>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</si>
  <si>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</si>
  <si>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</si>
  <si>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</si>
  <si>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</si>
  <si>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</si>
  <si>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</si>
  <si>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</si>
  <si>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</si>
  <si>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</si>
  <si>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</si>
  <si>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</si>
  <si>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</si>
  <si>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</si>
  <si>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</si>
  <si>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</si>
  <si>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</si>
  <si>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</si>
  <si>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</si>
  <si>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</si>
  <si>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</si>
  <si>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</si>
  <si>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</si>
  <si>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</si>
  <si>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</si>
  <si>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</si>
  <si>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</si>
  <si>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</si>
  <si>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</si>
  <si>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</si>
  <si>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</si>
  <si>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</si>
  <si>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</si>
  <si>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</si>
  <si>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</si>
  <si>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</si>
  <si>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</si>
  <si>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</si>
  <si>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</si>
  <si>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</si>
  <si>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</si>
  <si>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</si>
  <si>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</si>
  <si>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</si>
  <si>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</si>
  <si>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</si>
  <si>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</si>
  <si>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</si>
  <si>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</si>
  <si>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</si>
  <si>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</si>
  <si>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</si>
  <si>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</si>
  <si>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</si>
  <si>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</si>
  <si>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</si>
  <si>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</si>
  <si>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</si>
  <si>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</si>
  <si>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</si>
  <si>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</si>
  <si>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</si>
  <si>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</si>
  <si>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</si>
  <si>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</si>
  <si>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</si>
  <si>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</si>
  <si>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</si>
  <si>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</si>
  <si>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</si>
  <si>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</si>
  <si>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</si>
  <si>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</si>
  <si>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</si>
  <si>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</si>
  <si>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</si>
  <si>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</si>
  <si>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</si>
  <si>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</si>
  <si>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</si>
  <si>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</si>
  <si>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</si>
  <si>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</si>
  <si>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</si>
  <si>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</si>
  <si>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</si>
  <si>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</si>
  <si>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</si>
  <si>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</si>
  <si>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</si>
  <si>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</si>
  <si>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</si>
  <si>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</si>
  <si>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</si>
  <si>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</si>
  <si>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</si>
  <si>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</si>
  <si>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</si>
  <si>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</si>
  <si>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</si>
  <si>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</si>
  <si>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</si>
  <si>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</si>
  <si>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</si>
  <si>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</si>
  <si>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</si>
  <si>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</si>
  <si>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</si>
  <si>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</si>
  <si>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</si>
  <si>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</si>
  <si>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</si>
  <si>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</si>
  <si>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</si>
  <si>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</si>
  <si>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</si>
  <si>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</si>
  <si>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</si>
  <si>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</si>
  <si>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</si>
  <si>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</si>
  <si>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</si>
  <si>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</si>
  <si>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</si>
  <si>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</si>
  <si>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</si>
  <si>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</si>
  <si>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</si>
  <si>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</si>
  <si>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</si>
  <si>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</si>
  <si>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</si>
  <si>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</si>
  <si>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</si>
  <si>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</si>
  <si>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</si>
  <si>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</si>
  <si>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</si>
  <si>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</si>
  <si>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</si>
  <si>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</si>
  <si>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</si>
  <si>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</si>
  <si>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</si>
  <si>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</si>
  <si>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</si>
  <si>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</si>
  <si>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</si>
  <si>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</si>
  <si>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</si>
  <si>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</si>
  <si>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</si>
  <si>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</si>
  <si>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</si>
  <si>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</si>
  <si>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</si>
  <si>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</si>
  <si>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</si>
  <si>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</si>
  <si>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</si>
  <si>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</si>
  <si>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</si>
  <si>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</si>
  <si>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</si>
  <si>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</si>
  <si>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</si>
  <si>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</si>
  <si>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</si>
  <si>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</si>
  <si>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</si>
  <si>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</si>
  <si>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</si>
  <si>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</si>
  <si>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</si>
  <si>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</si>
  <si>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</si>
  <si>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</si>
  <si>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</si>
  <si>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</si>
  <si>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</si>
  <si>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</si>
  <si>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</si>
  <si>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</si>
  <si>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</si>
  <si>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</si>
  <si>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</si>
  <si>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</si>
  <si>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</si>
  <si>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</si>
  <si>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</si>
  <si>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</si>
  <si>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</si>
  <si>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</si>
  <si>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</si>
  <si>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</si>
  <si>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</si>
  <si>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</si>
  <si>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</si>
  <si>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</si>
  <si>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</si>
  <si>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</si>
  <si>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</si>
  <si>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</si>
  <si>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</si>
  <si>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</si>
  <si>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</si>
  <si>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</si>
  <si>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</si>
  <si>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</si>
  <si>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</si>
  <si>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</si>
  <si>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</si>
  <si>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</si>
  <si>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</si>
  <si>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</si>
  <si>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</si>
  <si>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</si>
  <si>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</si>
  <si>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</si>
  <si>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</si>
  <si>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</si>
  <si>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</si>
  <si>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</si>
  <si>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</si>
  <si>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</si>
  <si>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</si>
  <si>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</si>
  <si>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</si>
  <si>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</si>
  <si>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</si>
  <si>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</si>
  <si>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</si>
  <si>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</si>
  <si>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</si>
  <si>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</si>
  <si>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</si>
  <si>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</si>
  <si>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</si>
  <si>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</si>
  <si>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</si>
  <si>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</si>
  <si>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</si>
  <si>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</si>
  <si>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</si>
  <si>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</si>
  <si>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</si>
  <si>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</si>
  <si>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</si>
  <si>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</si>
  <si>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</si>
  <si>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</si>
  <si>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</si>
  <si>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</si>
  <si>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</si>
  <si>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</si>
  <si>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</si>
  <si>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</si>
  <si>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</si>
  <si>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</si>
  <si>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</si>
  <si>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</si>
  <si>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</si>
  <si>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</si>
  <si>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</si>
  <si>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</si>
  <si>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</si>
  <si>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</si>
  <si>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</si>
  <si>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</si>
  <si>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</si>
  <si>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</si>
  <si>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</si>
  <si>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</si>
  <si>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</si>
  <si>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</si>
  <si>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</si>
  <si>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</si>
  <si>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</si>
  <si>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</si>
  <si>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</si>
  <si>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</si>
  <si>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</si>
  <si>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</si>
  <si>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</si>
  <si>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</si>
  <si>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</si>
  <si>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</si>
  <si>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</si>
  <si>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</si>
  <si>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</si>
  <si>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</si>
  <si>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</si>
  <si>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</si>
  <si>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</si>
  <si>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</si>
  <si>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</si>
  <si>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</si>
  <si>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</si>
  <si>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</si>
  <si>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</si>
  <si>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</si>
  <si>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</si>
  <si>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</si>
  <si>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</si>
  <si>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</si>
  <si>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</si>
  <si>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</si>
  <si>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</si>
  <si>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</si>
  <si>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</si>
  <si>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</si>
  <si>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</si>
  <si>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</si>
  <si>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</si>
  <si>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</si>
  <si>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</si>
  <si>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</si>
  <si>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</si>
  <si>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</si>
  <si>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</si>
  <si>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</si>
  <si>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</si>
  <si>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</si>
  <si>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</si>
  <si>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</si>
  <si>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</si>
  <si>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</si>
  <si>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</si>
  <si>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</si>
  <si>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</si>
  <si>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</si>
  <si>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</si>
  <si>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</si>
  <si>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</si>
  <si>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</si>
  <si>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</si>
  <si>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</si>
  <si>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</si>
  <si>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</si>
  <si>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</si>
  <si>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</si>
  <si>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</si>
  <si>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</si>
  <si>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</si>
  <si>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</si>
  <si>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</si>
  <si>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</si>
  <si>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</si>
  <si>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</si>
  <si>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</si>
  <si>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</si>
  <si>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</si>
  <si>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</si>
  <si>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</si>
  <si>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</si>
  <si>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</si>
  <si>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</si>
  <si>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</si>
  <si>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</si>
  <si>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</si>
  <si>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</si>
  <si>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</si>
  <si>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</si>
  <si>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</si>
  <si>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</si>
  <si>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</si>
  <si>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</si>
  <si>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</si>
  <si>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</si>
  <si>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</si>
  <si>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</si>
  <si>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</si>
  <si>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</si>
  <si>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</si>
  <si>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</si>
  <si>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</si>
  <si>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</si>
  <si>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</si>
  <si>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</si>
  <si>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</si>
  <si>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</si>
  <si>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</si>
  <si>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</si>
  <si>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</si>
  <si>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</si>
  <si>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</si>
  <si>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</si>
  <si>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</si>
  <si>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</si>
  <si>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</si>
  <si>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</si>
  <si>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</si>
  <si>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</si>
  <si>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</si>
  <si>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</si>
  <si>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</si>
  <si>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</si>
  <si>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</si>
  <si>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</si>
  <si>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</si>
  <si>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</si>
  <si>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</si>
  <si>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</si>
  <si>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</si>
  <si>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</si>
  <si>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</si>
  <si>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</si>
  <si>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</si>
  <si>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</si>
  <si>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</si>
  <si>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</si>
  <si>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</si>
  <si>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</si>
  <si>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</si>
  <si>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</si>
  <si>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</si>
  <si>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</si>
  <si>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</si>
  <si>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</si>
  <si>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</si>
  <si>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</si>
  <si>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</si>
  <si>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</si>
  <si>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</si>
  <si>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</si>
  <si>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</si>
  <si>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</si>
  <si>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</si>
  <si>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</si>
  <si>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</si>
  <si>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</si>
  <si>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</si>
  <si>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</si>
  <si>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</si>
  <si>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</si>
  <si>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</si>
  <si>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</si>
  <si>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</si>
  <si>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</si>
  <si>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</si>
  <si>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</si>
  <si>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</si>
  <si>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</si>
  <si>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</si>
  <si>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</si>
  <si>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</si>
  <si>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</si>
  <si>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</si>
  <si>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</si>
  <si>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</si>
  <si>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</si>
  <si>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</si>
  <si>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</si>
  <si>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</si>
  <si>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</si>
  <si>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</si>
  <si>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</si>
  <si>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</si>
  <si>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</si>
  <si>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</si>
  <si>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</si>
  <si>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</si>
  <si>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</si>
  <si>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</si>
  <si>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</si>
  <si>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</si>
  <si>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</si>
  <si>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</si>
  <si>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</si>
  <si>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</si>
  <si>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</si>
  <si>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</si>
  <si>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</si>
  <si>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</si>
  <si>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</si>
  <si>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</si>
  <si>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</si>
  <si>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</si>
  <si>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</si>
  <si>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</si>
  <si>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</si>
  <si>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</si>
  <si>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</si>
  <si>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</si>
  <si>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</si>
  <si>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</si>
  <si>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</si>
  <si>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</si>
  <si>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</si>
  <si>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</si>
  <si>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</si>
  <si>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</si>
  <si>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</si>
  <si>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</si>
  <si>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</si>
  <si>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</si>
  <si>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</si>
  <si>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</si>
  <si>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</si>
  <si>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</si>
  <si>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</si>
  <si>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</si>
  <si>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</si>
  <si>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</si>
  <si>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</si>
  <si>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</si>
  <si>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</si>
  <si>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</si>
  <si>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</si>
  <si>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</si>
  <si>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</si>
  <si>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</si>
  <si>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</si>
  <si>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</si>
  <si>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</si>
  <si>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</si>
  <si>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</si>
  <si>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</si>
  <si>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</si>
  <si>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</si>
  <si>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</si>
  <si>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</si>
  <si>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</si>
  <si>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</si>
  <si>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</si>
  <si>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</si>
  <si>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</si>
  <si>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</si>
  <si>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</si>
  <si>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</si>
  <si>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</si>
  <si>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</si>
  <si>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</si>
  <si>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</si>
  <si>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</si>
  <si>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</si>
  <si>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</si>
  <si>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</si>
  <si>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</si>
  <si>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</si>
  <si>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</si>
  <si>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</si>
  <si>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</si>
  <si>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</si>
  <si>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</si>
  <si>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</si>
  <si>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</si>
  <si>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</si>
  <si>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</si>
  <si>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</si>
  <si>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</si>
  <si>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</si>
  <si>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</si>
  <si>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</si>
  <si>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</si>
  <si>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</si>
  <si>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</si>
  <si>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</si>
  <si>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</si>
  <si>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</si>
  <si>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</si>
  <si>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</si>
  <si>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</si>
  <si>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</si>
  <si>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</si>
  <si>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</si>
  <si>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</si>
  <si>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</si>
  <si>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</si>
  <si>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</si>
  <si>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</si>
  <si>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</si>
  <si>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</si>
  <si>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</si>
  <si>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</si>
  <si>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</si>
  <si>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</si>
  <si>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</si>
  <si>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</si>
  <si>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</si>
  <si>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</si>
  <si>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</si>
  <si>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</si>
  <si>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</si>
  <si>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</si>
  <si>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</si>
  <si>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</si>
  <si>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</si>
  <si>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</si>
  <si>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</si>
  <si>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</si>
  <si>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</si>
  <si>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</si>
  <si>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</si>
  <si>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</si>
  <si>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</si>
  <si>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</si>
  <si>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</si>
  <si>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</si>
  <si>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</si>
  <si>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</si>
  <si>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</si>
  <si>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</si>
  <si>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</si>
  <si>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</si>
  <si>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</si>
  <si>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</si>
  <si>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</si>
  <si>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</si>
  <si>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</si>
  <si>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</si>
  <si>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</si>
  <si>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</si>
  <si>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</si>
  <si>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</si>
  <si>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</si>
  <si>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</si>
  <si>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</si>
  <si>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</si>
  <si>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</si>
  <si>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</si>
  <si>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</si>
  <si>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</si>
  <si>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</si>
  <si>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</si>
  <si>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</si>
  <si>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</si>
  <si>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</si>
  <si>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</si>
  <si>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</si>
  <si>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</si>
  <si>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</si>
  <si>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</si>
  <si>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</si>
  <si>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</si>
  <si>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</si>
  <si>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</si>
  <si>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</si>
  <si>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</si>
  <si>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</si>
  <si>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</si>
  <si>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</si>
  <si>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</si>
  <si>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</si>
  <si>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</si>
  <si>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</si>
  <si>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</si>
  <si>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</si>
  <si>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</si>
  <si>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</si>
  <si>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</si>
  <si>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</si>
  <si>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</si>
  <si>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</si>
  <si>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</si>
  <si>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</si>
  <si>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</si>
  <si>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</si>
  <si>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</si>
  <si>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</si>
  <si>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</si>
  <si>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</si>
  <si>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</si>
  <si>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</si>
  <si>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</si>
  <si>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</si>
  <si>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</si>
  <si>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</si>
  <si>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</si>
  <si>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</si>
  <si>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</si>
  <si>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</si>
  <si>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</si>
  <si>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</si>
  <si>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</si>
  <si>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</si>
  <si>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</si>
  <si>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</si>
  <si>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</si>
  <si>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</si>
  <si>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</si>
  <si>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</si>
  <si>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</si>
  <si>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</si>
  <si>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</si>
  <si>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</si>
  <si>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</si>
  <si>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</si>
  <si>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</si>
  <si>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</si>
  <si>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</si>
  <si>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</si>
  <si>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</si>
  <si>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</si>
  <si>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</si>
  <si>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</si>
  <si>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</si>
  <si>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</si>
  <si>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</si>
  <si>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</si>
  <si>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</si>
  <si>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</si>
  <si>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</si>
  <si>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</si>
  <si>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</si>
  <si>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</si>
  <si>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</si>
  <si>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</si>
  <si>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</si>
  <si>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</si>
  <si>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</si>
  <si>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</si>
  <si>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</si>
  <si>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</si>
  <si>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</si>
  <si>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</si>
  <si>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</si>
  <si>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</si>
  <si>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</si>
  <si>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</si>
  <si>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</si>
  <si>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</si>
  <si>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</si>
  <si>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</si>
  <si>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</si>
  <si>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</si>
  <si>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</si>
  <si>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</si>
  <si>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</si>
  <si>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</si>
  <si>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</si>
  <si>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</si>
  <si>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</si>
  <si>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</si>
  <si>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</si>
  <si>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</si>
  <si>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</si>
  <si>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</si>
  <si>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</si>
  <si>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CANTABRIA</t>
  </si>
  <si>
    <t>Provincias</t>
  </si>
  <si>
    <t>Resumenes por Partidos Judiciales</t>
  </si>
  <si>
    <t>SANTANDER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</si>
</sst>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974</v>
      </c>
      <c r="C10" s="382"/>
      <c r="D10" s="382"/>
      <c r="E10" s="391"/>
      <c r="F10" s="3"/>
      <c r="Q10" s="356">
        <v>0</v>
      </c>
    </row>
    <row r="11" spans="1:19" ht="13.5" thickBot="1">
      <c r="A11" s="392" t="s">
        <v>976</v>
      </c>
      <c r="B11" s="393" t="s">
        <v>977</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8dJW2eoAYL4LMOU44dd8yL/SHwqxlCqXGlmuJbD/cUaexaOecUqx+evdWe+m1J7dMKeI+NAjPXNWy0NFK4i9AA==" saltValue="fPcS92K0DDS6yPLa3AcHT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CANTABRIA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10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f>IF(ISNUMBER(NºAsuntos!I9/NºAsuntos!G9),(NºAsuntos!I9/NºAsuntos!G9)*11," - ")</f>
        <v>38.216582719876016</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37</v>
      </c>
      <c r="D10" s="230">
        <f>IF(ISNUMBER(Datos!I10),Datos!I10," - ")</f>
        <v>37</v>
      </c>
      <c r="E10" s="231">
        <f>IF(ISNUMBER(Datos!J10),Datos!J10," - ")</f>
        <v>41</v>
      </c>
      <c r="F10" s="231">
        <f>IF(ISNUMBER(Datos!K10),Datos!K10," - ")</f>
        <v>41</v>
      </c>
      <c r="G10" s="1193" t="str">
        <f>IF(Datos!E10&lt;&gt;"",Datos!E10,Datos!D10)</f>
        <v>37</v>
      </c>
      <c r="H10" s="232">
        <f>IF(ISNUMBER(Datos!L10),Datos!L10," - ")</f>
        <v>37</v>
      </c>
      <c r="I10" s="1203" t="str">
        <f>IF(ISNUMBER(Datos!AS10/Datos!BM10),Datos!AS10/Datos!BM10," - ")</f>
        <v xml:space="preserve"> - </v>
      </c>
      <c r="J10" s="1204">
        <f>IF(ISNUMBER(Datos!BY10/Datos!CN10),Datos!BY10/Datos!CN10," - ")</f>
        <v>0</v>
      </c>
      <c r="K10" s="235">
        <f t="shared" ref="K10:K13" si="1">IF(ISNUMBER((E10-F10)/C10),(E10-F10)/C10," - ")</f>
        <v>0</v>
      </c>
      <c r="L10" s="1205">
        <f>IF(ISNUMBER(NºAsuntos!I10/NºAsuntos!G10),(NºAsuntos!I10/NºAsuntos!G10)*11," - ")</f>
        <v>9.9268292682926838</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2</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f>IF(ISNUMBER(NºAsuntos!I11/NºAsuntos!G11),(NºAsuntos!I11/NºAsuntos!G11)*11," - ")</f>
        <v>23.006097560975608</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0</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t="str">
        <f>IF(ISNUMBER(NºAsuntos!I12/NºAsuntos!G12),(NºAsuntos!I12/NºAsuntos!G12)*11," - ")</f>
        <v xml:space="preserve"> - </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37</v>
      </c>
      <c r="D14" s="1210">
        <f>SUBTOTAL(9,D9:D13)</f>
        <v>37</v>
      </c>
      <c r="E14" s="1211">
        <f>SUBTOTAL(9,E9:E13)</f>
        <v>41</v>
      </c>
      <c r="F14" s="1212">
        <f>SUBTOTAL(9,F9:F13)</f>
        <v>41</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5</v>
      </c>
      <c r="B16" s="1258" t="str">
        <f>Datos!A16</f>
        <v xml:space="preserve">Jdos. Instrucción                               </v>
      </c>
      <c r="C16" s="230">
        <f t="shared" ref="C16:C19" si="2">IF(ISNUMBER(H16-E16+F16),H16-E16+F16," - ")</f>
        <v>1175</v>
      </c>
      <c r="D16" s="230">
        <f>IF(ISNUMBER(IF(D_I="SI",Datos!I16,Datos!I16+Datos!AC16)),IF(D_I="SI",Datos!I16,Datos!I16+Datos!AC16)," - ")</f>
        <v>1305</v>
      </c>
      <c r="E16" s="231">
        <f>IF(ISNUMBER(IF(D_I="SI",Datos!J16,Datos!J16+Datos!AD16)),IF(D_I="SI",Datos!J16,Datos!J16+Datos!AD16)," - ")</f>
        <v>2587</v>
      </c>
      <c r="F16" s="231">
        <f>IF(ISNUMBER(IF(D_I="SI",Datos!K16,Datos!K16+Datos!AE16)),IF(D_I="SI",Datos!K16,Datos!K16+Datos!AE16)," - ")</f>
        <v>2434</v>
      </c>
      <c r="G16" s="1193" t="str">
        <f>IF(Datos!E16&lt;&gt;"",Datos!E16,Datos!D16)</f>
        <v>03</v>
      </c>
      <c r="H16" s="232">
        <f>IF(ISNUMBER(IF(D_I="SI",Datos!L16,Datos!L16+Datos!AF16)),IF(D_I="SI",Datos!L16,Datos!L16+Datos!AF16)," - ")</f>
        <v>1328</v>
      </c>
      <c r="I16" s="1203" t="str">
        <f>IF(ISNUMBER(Datos!AS16/Datos!BM16),Datos!AS16/Datos!BM16," - ")</f>
        <v xml:space="preserve"> - </v>
      </c>
      <c r="J16" s="1204">
        <f>IF(ISNUMBER(Datos!BY16/Datos!CN16),Datos!BY16/Datos!CN16," - ")</f>
        <v>0</v>
      </c>
      <c r="K16" s="235">
        <f t="shared" ref="K16:K19" si="3">IF(ISNUMBER((E16-F16)/C16),(E16-F16)/C16," - ")</f>
        <v>0.1302127659574468</v>
      </c>
      <c r="L16" s="1205">
        <f>IF(ISNUMBER(NºAsuntos!I16/NºAsuntos!G16),(NºAsuntos!I16/NºAsuntos!G16)*11," - ")</f>
        <v>6.0016433853738702</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0</v>
      </c>
      <c r="B17" s="1258" t="str">
        <f>Datos!A17</f>
        <v xml:space="preserve">Jdos. 1ª Instª. e Instr.                        </v>
      </c>
      <c r="C17" s="230" t="str">
        <f t="shared" si="2"/>
        <v xml:space="preserve"> - </v>
      </c>
      <c r="D17" s="230" t="str">
        <f>IF(ISNUMBER(IF(D_I="SI",Datos!I17,Datos!I17+Datos!AC17)),IF(D_I="SI",Datos!I17,Datos!I17+Datos!AC17)," - ")</f>
        <v xml:space="preserve"> - </v>
      </c>
      <c r="E17" s="231" t="str">
        <f>IF(ISNUMBER(IF(D_I="SI",Datos!J17,Datos!J17+Datos!AD17)),IF(D_I="SI",Datos!J17,Datos!J17+Datos!AD17)," - ")</f>
        <v xml:space="preserve"> - </v>
      </c>
      <c r="F17" s="231" t="str">
        <f>IF(ISNUMBER(IF(D_I="SI",Datos!K17,Datos!K17+Datos!AE17)),IF(D_I="SI",Datos!K17,Datos!K17+Datos!AE17)," - ")</f>
        <v xml:space="preserve"> - </v>
      </c>
      <c r="G17" s="1193" t="str">
        <f>IF(Datos!E17&lt;&gt;"",Datos!E17,Datos!D17)</f>
        <v>04</v>
      </c>
      <c r="H17" s="232" t="str">
        <f>IF(ISNUMBER(IF(D_I="SI",Datos!L17,Datos!L17+Datos!AF17)),IF(D_I="SI",Datos!L17,Datos!L17+Datos!AF17)," - ")</f>
        <v xml:space="preserve"> - </v>
      </c>
      <c r="I17" s="1203" t="str">
        <f>IF(ISNUMBER(Datos!AS17/Datos!BM17),Datos!AS17/Datos!BM17," - ")</f>
        <v xml:space="preserve"> - </v>
      </c>
      <c r="J17" s="1204">
        <f>IF(ISNUMBER(Datos!BY17/Datos!CN17),Datos!BY17/Datos!CN17," - ")</f>
        <v>0</v>
      </c>
      <c r="K17" s="235" t="str">
        <f t="shared" si="3"/>
        <v xml:space="preserve"> - </v>
      </c>
      <c r="L17" s="1205" t="str">
        <f>IF(ISNUMBER(NºAsuntos!I17/NºAsuntos!G17),(NºAsuntos!I17/NºAsuntos!G17)*11," - ")</f>
        <v xml:space="preserve"> - </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74</v>
      </c>
      <c r="D18" s="230">
        <f>IF(ISNUMBER(IF(D_I="SI",Datos!I18,Datos!I18+Datos!AC18)),IF(D_I="SI",Datos!I18,Datos!I18+Datos!AC18)," - ")</f>
        <v>70</v>
      </c>
      <c r="E18" s="231">
        <f>IF(ISNUMBER(IF(D_I="SI",Datos!J18,Datos!J18+Datos!AD18)),IF(D_I="SI",Datos!J18,Datos!J18+Datos!AD18)," - ")</f>
        <v>411</v>
      </c>
      <c r="F18" s="231">
        <f>IF(ISNUMBER(IF(D_I="SI",Datos!K18,Datos!K18+Datos!AE18)),IF(D_I="SI",Datos!K18,Datos!K18+Datos!AE18)," - ")</f>
        <v>432</v>
      </c>
      <c r="G18" s="1193" t="str">
        <f>IF(Datos!E18&lt;&gt;"",Datos!E18,Datos!D18)</f>
        <v>37</v>
      </c>
      <c r="H18" s="232">
        <f>IF(ISNUMBER(IF(D_I="SI",Datos!L18,Datos!L18+Datos!AF18)),IF(D_I="SI",Datos!L18,Datos!L18+Datos!AF18)," - ")</f>
        <v>53</v>
      </c>
      <c r="I18" s="1203" t="str">
        <f>IF(ISNUMBER(Datos!AS18/Datos!BM18),Datos!AS18/Datos!BM18," - ")</f>
        <v xml:space="preserve"> - </v>
      </c>
      <c r="J18" s="1204" t="str">
        <f>IF(ISNUMBER((Datos!BY18+Datos!BZ18)/Datos!CN18),(Datos!BY18+Datos!BZ18)/Datos!CN18," - ")</f>
        <v xml:space="preserve"> - </v>
      </c>
      <c r="K18" s="235">
        <f t="shared" si="3"/>
        <v>-0.28378378378378377</v>
      </c>
      <c r="L18" s="1205">
        <f>IF(ISNUMBER(NºAsuntos!I18/NºAsuntos!G18),(NºAsuntos!I18/NºAsuntos!G18)*11," - ")</f>
        <v>1.349537037037037</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1249</v>
      </c>
      <c r="D20" s="1210">
        <f>SUBTOTAL(9,D16:D19)</f>
        <v>1375</v>
      </c>
      <c r="E20" s="1211">
        <f>SUBTOTAL(9,E16:E19)</f>
        <v>2998</v>
      </c>
      <c r="F20" s="1211">
        <f>SUBTOTAL(9,F16:F19)</f>
        <v>2866</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1286</v>
      </c>
      <c r="D21" s="1232">
        <f>SUBTOTAL(9,D9:D20)</f>
        <v>1412</v>
      </c>
      <c r="E21" s="1233">
        <f>SUBTOTAL(9,E9:E20)</f>
        <v>3039</v>
      </c>
      <c r="F21" s="1233">
        <f>SUBTOTAL(9,F9:F20)</f>
        <v>2907</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YpwhahBU8SRIsRiVebgag2GjE/+25t1qPoCml/fD1AoSz6n0brNr2jhxknZAEXTl7r0B3htgj/hjp4w60c9iWQ==" saltValue="ZqY9ESuPLGrX79zXpXrw8w=="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WLDGl1JWvYnVXjMNsx9RREXXk2S0l0G+ixGgzQnit1acSy9aGQ3K4D9pctHZEcdI61bEsdcPJQcuBRVEkyc2fw==" saltValue="dYP9ZaItyu+CTUFx5x/0Y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v>9891</v>
      </c>
      <c r="J9" s="186">
        <v>1403</v>
      </c>
      <c r="K9" s="186">
        <v>2500</v>
      </c>
      <c r="L9" s="186">
        <v>8795</v>
      </c>
      <c r="M9" s="186">
        <v>1171</v>
      </c>
      <c r="N9" s="186">
        <v>787</v>
      </c>
      <c r="O9" s="186">
        <v>788</v>
      </c>
      <c r="P9" s="186">
        <v>567</v>
      </c>
      <c r="Q9" s="186">
        <v>898</v>
      </c>
      <c r="R9" s="186">
        <v>7814</v>
      </c>
      <c r="S9" s="186">
        <v>9645</v>
      </c>
      <c r="T9" s="186">
        <v>4204</v>
      </c>
      <c r="U9" s="186">
        <v>4199</v>
      </c>
      <c r="V9" s="186">
        <v>9662</v>
      </c>
      <c r="W9" s="186">
        <v>1498</v>
      </c>
      <c r="X9" s="193">
        <v>1428</v>
      </c>
      <c r="Y9" s="196">
        <v>151</v>
      </c>
      <c r="Z9" s="186">
        <v>102</v>
      </c>
      <c r="AA9" s="186">
        <v>81</v>
      </c>
      <c r="AB9" s="186">
        <v>172</v>
      </c>
      <c r="AC9" s="186">
        <v>0</v>
      </c>
      <c r="AD9" s="186">
        <v>0</v>
      </c>
      <c r="AE9" s="186">
        <v>0</v>
      </c>
      <c r="AF9" s="193">
        <v>0</v>
      </c>
      <c r="AG9" s="196">
        <v>169</v>
      </c>
      <c r="AH9" s="186">
        <v>352</v>
      </c>
      <c r="AI9" s="186">
        <v>339</v>
      </c>
      <c r="AJ9" s="197">
        <v>182</v>
      </c>
      <c r="AK9" s="185">
        <v>0</v>
      </c>
      <c r="AL9" s="186">
        <v>0</v>
      </c>
      <c r="AM9" s="186">
        <v>0</v>
      </c>
      <c r="AN9" s="193">
        <v>0</v>
      </c>
      <c r="AO9" s="263">
        <v>10</v>
      </c>
      <c r="AP9" s="159">
        <v>10</v>
      </c>
      <c r="AQ9" s="159">
        <v>10</v>
      </c>
      <c r="AR9" s="198">
        <v>10</v>
      </c>
      <c r="AS9" s="348" t="s">
        <v>871</v>
      </c>
      <c r="AT9" s="200"/>
      <c r="AU9" s="199"/>
      <c r="AV9" s="200"/>
      <c r="AW9" s="199"/>
      <c r="AX9" s="200"/>
      <c r="AY9" s="125">
        <f>IF(ISNUMBER(IF(J_V="SI",S9,S9+AG9)),IF(J_V="SI",S9,S9+AG9)," - ")</f>
        <v>9814</v>
      </c>
      <c r="AZ9" s="125">
        <f>IF(ISNUMBER(IF(J_V="SI",T9,T9+AH9)),IF(J_V="SI",T9,T9+AH9)," - ")</f>
        <v>4556</v>
      </c>
      <c r="BA9" s="126">
        <f>IF(ISNUMBER(IF(J_V="SI",U9,U9+AI9)),IF(J_V="SI",U9,U9+AI9)," - ")</f>
        <v>4538</v>
      </c>
      <c r="BB9" s="126">
        <f>IF(ISNUMBER(IF(J_V="SI",V9,V9+AJ9)),IF(J_V="SI",V9,V9+AJ9)," - ")</f>
        <v>9844</v>
      </c>
      <c r="BC9" s="127">
        <f>IF(ISNUMBER(X9),X9," - ")</f>
        <v>1428</v>
      </c>
      <c r="BD9" s="128">
        <f>IF(ISNUMBER(BA9/AZ9),BA9/AZ9," - ")</f>
        <v>0.99604916593503068</v>
      </c>
      <c r="BE9" s="129">
        <f>IF(ISNUMBER(BB9/BA9),BB9/BA9, " - ")</f>
        <v>2.1692375495813132</v>
      </c>
      <c r="BF9" s="129">
        <f>IF(ISNUMBER(BC9/BA9),BC9/BA9, " - ")</f>
        <v>0.3146760687527545</v>
      </c>
      <c r="BG9" s="201">
        <f>IF(ISNUMBER((AY9+AZ9)/BA9),(AY9+AZ9)/BA9," - ")</f>
        <v>3.1665932128691052</v>
      </c>
      <c r="BH9" s="159">
        <v>10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37</v>
      </c>
      <c r="J10" s="186">
        <v>41</v>
      </c>
      <c r="K10" s="186">
        <v>41</v>
      </c>
      <c r="L10" s="186">
        <v>37</v>
      </c>
      <c r="M10" s="186">
        <v>20</v>
      </c>
      <c r="N10" s="186">
        <v>7</v>
      </c>
      <c r="O10" s="186">
        <v>15</v>
      </c>
      <c r="P10" s="186">
        <v>11</v>
      </c>
      <c r="Q10" s="186">
        <v>4</v>
      </c>
      <c r="R10" s="186">
        <v>77</v>
      </c>
      <c r="S10" s="186">
        <v>41</v>
      </c>
      <c r="T10" s="186">
        <v>30</v>
      </c>
      <c r="U10" s="186">
        <v>33</v>
      </c>
      <c r="V10" s="186">
        <v>38</v>
      </c>
      <c r="W10" s="186">
        <v>16</v>
      </c>
      <c r="X10" s="193">
        <v>6</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1</v>
      </c>
      <c r="AQ10" s="159">
        <v>1</v>
      </c>
      <c r="AR10" s="160">
        <v>1</v>
      </c>
      <c r="AS10" s="349" t="s">
        <v>865</v>
      </c>
      <c r="AT10" s="197"/>
      <c r="AU10" s="205"/>
      <c r="AV10" s="197"/>
      <c r="AW10" s="205"/>
      <c r="AX10" s="197"/>
      <c r="AY10" s="130">
        <f t="shared" ref="AY10:BC10" si="0">IF(ISNUMBER(S10),S10," - ")</f>
        <v>41</v>
      </c>
      <c r="AZ10" s="131">
        <f t="shared" si="0"/>
        <v>30</v>
      </c>
      <c r="BA10" s="131">
        <f t="shared" si="0"/>
        <v>33</v>
      </c>
      <c r="BB10" s="131">
        <f t="shared" si="0"/>
        <v>38</v>
      </c>
      <c r="BC10" s="127">
        <f t="shared" si="0"/>
        <v>16</v>
      </c>
      <c r="BD10" s="128">
        <f>IF(ISNUMBER(BA10/AZ10),BA10/AZ10," - ")</f>
        <v>1.1000000000000001</v>
      </c>
      <c r="BE10" s="129">
        <f>IF(ISNUMBER(BB10/BA10),BB10/BA10, " - ")</f>
        <v>1.1515151515151516</v>
      </c>
      <c r="BF10" s="129">
        <f>IF(ISNUMBER(BC10/BA10),BC10/BA10, " - ")</f>
        <v>0.48484848484848486</v>
      </c>
      <c r="BG10" s="201">
        <f>IF(ISNUMBER((AY10+AZ10)/BA10),(AY10+AZ10)/BA10," - ")</f>
        <v>2.1515151515151514</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v>990</v>
      </c>
      <c r="J11" s="188">
        <v>297</v>
      </c>
      <c r="K11" s="188">
        <v>262</v>
      </c>
      <c r="L11" s="188">
        <v>796</v>
      </c>
      <c r="M11" s="188">
        <v>99</v>
      </c>
      <c r="N11" s="188">
        <v>312</v>
      </c>
      <c r="O11" s="186">
        <v>175</v>
      </c>
      <c r="P11" s="188">
        <v>66</v>
      </c>
      <c r="Q11" s="188">
        <v>75</v>
      </c>
      <c r="R11" s="188">
        <v>706</v>
      </c>
      <c r="S11" s="188">
        <v>991</v>
      </c>
      <c r="T11" s="188">
        <v>420</v>
      </c>
      <c r="U11" s="188">
        <v>452</v>
      </c>
      <c r="V11" s="188">
        <v>1013</v>
      </c>
      <c r="W11" s="188">
        <v>227</v>
      </c>
      <c r="X11" s="194">
        <v>319</v>
      </c>
      <c r="Y11" s="196">
        <v>188</v>
      </c>
      <c r="Z11" s="186">
        <v>275</v>
      </c>
      <c r="AA11" s="186">
        <v>230</v>
      </c>
      <c r="AB11" s="186">
        <v>233</v>
      </c>
      <c r="AC11" s="188">
        <v>0</v>
      </c>
      <c r="AD11" s="188">
        <v>0</v>
      </c>
      <c r="AE11" s="188">
        <v>0</v>
      </c>
      <c r="AF11" s="194">
        <v>0</v>
      </c>
      <c r="AG11" s="207">
        <v>260</v>
      </c>
      <c r="AH11" s="188">
        <v>229</v>
      </c>
      <c r="AI11" s="188">
        <v>323</v>
      </c>
      <c r="AJ11" s="208">
        <v>166</v>
      </c>
      <c r="AK11" s="187">
        <v>0</v>
      </c>
      <c r="AL11" s="188">
        <v>0</v>
      </c>
      <c r="AM11" s="188">
        <v>0</v>
      </c>
      <c r="AN11" s="194">
        <v>0</v>
      </c>
      <c r="AO11" s="264">
        <v>2</v>
      </c>
      <c r="AP11" s="160">
        <v>2</v>
      </c>
      <c r="AQ11" s="160">
        <v>2</v>
      </c>
      <c r="AR11" s="159">
        <v>2</v>
      </c>
      <c r="AS11" s="350" t="s">
        <v>873</v>
      </c>
      <c r="AT11" s="208"/>
      <c r="AU11" s="207"/>
      <c r="AV11" s="208"/>
      <c r="AW11" s="207"/>
      <c r="AX11" s="208"/>
      <c r="AY11" s="128">
        <f t="shared" ref="AY11:BB12" si="1">IF(ISNUMBER(IF(J_V="SI",S11,S11+AG11)),IF(J_V="SI",S11,S11+AG11)," - ")</f>
        <v>1251</v>
      </c>
      <c r="AZ11" s="129">
        <f t="shared" si="1"/>
        <v>649</v>
      </c>
      <c r="BA11" s="129">
        <f t="shared" si="1"/>
        <v>775</v>
      </c>
      <c r="BB11" s="129">
        <f t="shared" si="1"/>
        <v>1179</v>
      </c>
      <c r="BC11" s="127">
        <f>IF(ISNUMBER(X11),X11," - ")</f>
        <v>319</v>
      </c>
      <c r="BD11" s="128">
        <f t="shared" ref="BD11:BD13" si="2">IF(ISNUMBER(BA11/AZ11),BA11/AZ11," - ")</f>
        <v>1.1941448382126347</v>
      </c>
      <c r="BE11" s="129">
        <f t="shared" ref="BE11:BE13" si="3">IF(ISNUMBER(BB11/BA11),BB11/BA11, " - ")</f>
        <v>1.5212903225806451</v>
      </c>
      <c r="BF11" s="129">
        <f t="shared" ref="BF11:BF13" si="4">IF(ISNUMBER(BC11/BA11),BC11/BA11, " - ")</f>
        <v>0.41161290322580646</v>
      </c>
      <c r="BG11" s="201">
        <f t="shared" ref="BG11:BG13" si="5">IF(ISNUMBER((AY11+AZ11)/BA11),(AY11+AZ11)/BA11," - ")</f>
        <v>2.4516129032258065</v>
      </c>
      <c r="BH11" s="160">
        <v>2</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t="s">
        <v>880</v>
      </c>
      <c r="J12" s="188" t="s">
        <v>872</v>
      </c>
      <c r="K12" s="188" t="s">
        <v>928</v>
      </c>
      <c r="L12" s="188" t="s">
        <v>885</v>
      </c>
      <c r="M12" s="188" t="s">
        <v>548</v>
      </c>
      <c r="N12" s="188" t="s">
        <v>563</v>
      </c>
      <c r="O12" s="186" t="s">
        <v>247</v>
      </c>
      <c r="P12" s="188" t="s">
        <v>40</v>
      </c>
      <c r="Q12" s="188" t="s">
        <v>41</v>
      </c>
      <c r="R12" s="188" t="s">
        <v>94</v>
      </c>
      <c r="S12" s="188"/>
      <c r="T12" s="188"/>
      <c r="U12" s="188"/>
      <c r="V12" s="188"/>
      <c r="W12" s="188"/>
      <c r="X12" s="194"/>
      <c r="Y12" s="196" t="s">
        <v>147</v>
      </c>
      <c r="Z12" s="186" t="s">
        <v>148</v>
      </c>
      <c r="AA12" s="186" t="s">
        <v>149</v>
      </c>
      <c r="AB12" s="186" t="s">
        <v>150</v>
      </c>
      <c r="AC12" s="188"/>
      <c r="AD12" s="188"/>
      <c r="AE12" s="188"/>
      <c r="AF12" s="194"/>
      <c r="AG12" s="207"/>
      <c r="AH12" s="188"/>
      <c r="AI12" s="188"/>
      <c r="AJ12" s="208"/>
      <c r="AK12" s="187"/>
      <c r="AL12" s="188"/>
      <c r="AM12" s="188"/>
      <c r="AN12" s="194"/>
      <c r="AO12" s="264">
        <v>0</v>
      </c>
      <c r="AP12" s="160">
        <v>0</v>
      </c>
      <c r="AQ12" s="160">
        <v>0</v>
      </c>
      <c r="AR12" s="159">
        <v>0</v>
      </c>
      <c r="AS12" s="350" t="s">
        <v>874</v>
      </c>
      <c r="AT12" s="208"/>
      <c r="AU12" s="207"/>
      <c r="AV12" s="208"/>
      <c r="AW12" s="207"/>
      <c r="AX12" s="208"/>
      <c r="AY12" s="128">
        <f t="shared" si="1"/>
        <v>0</v>
      </c>
      <c r="AZ12" s="129">
        <f t="shared" si="1"/>
        <v>0</v>
      </c>
      <c r="BA12" s="129">
        <f t="shared" si="1"/>
        <v>0</v>
      </c>
      <c r="BB12" s="129">
        <f t="shared" si="1"/>
        <v>0</v>
      </c>
      <c r="BC12" s="127" t="str">
        <f>IF(ISNUMBER(X12),X12," - ")</f>
        <v xml:space="preserve"> - </v>
      </c>
      <c r="BD12" s="128" t="str">
        <f t="shared" si="2"/>
        <v xml:space="preserve"> - </v>
      </c>
      <c r="BE12" s="129" t="str">
        <f t="shared" si="3"/>
        <v xml:space="preserve"> - </v>
      </c>
      <c r="BF12" s="129" t="str">
        <f t="shared" si="4"/>
        <v xml:space="preserve"> - </v>
      </c>
      <c r="BG12" s="201" t="str">
        <f t="shared" si="5"/>
        <v xml:space="preserve"> - </v>
      </c>
      <c r="BH12" s="160">
        <v>0</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10918</v>
      </c>
      <c r="J14" s="189">
        <f t="shared" si="7"/>
        <v>1741</v>
      </c>
      <c r="K14" s="189">
        <f t="shared" si="7"/>
        <v>2803</v>
      </c>
      <c r="L14" s="189">
        <f t="shared" si="7"/>
        <v>9628</v>
      </c>
      <c r="M14" s="189">
        <f t="shared" si="7"/>
        <v>1290</v>
      </c>
      <c r="N14" s="189">
        <f t="shared" si="7"/>
        <v>1106</v>
      </c>
      <c r="O14" s="189">
        <f t="shared" si="7"/>
        <v>978</v>
      </c>
      <c r="P14" s="189">
        <f t="shared" si="7"/>
        <v>644</v>
      </c>
      <c r="Q14" s="189">
        <f t="shared" si="7"/>
        <v>977</v>
      </c>
      <c r="R14" s="189">
        <f t="shared" si="7"/>
        <v>8597</v>
      </c>
      <c r="S14" s="189">
        <f t="shared" si="7"/>
        <v>10677</v>
      </c>
      <c r="T14" s="189">
        <f t="shared" si="7"/>
        <v>4654</v>
      </c>
      <c r="U14" s="189">
        <f t="shared" si="7"/>
        <v>4684</v>
      </c>
      <c r="V14" s="189">
        <f t="shared" si="7"/>
        <v>10713</v>
      </c>
      <c r="W14" s="189">
        <f t="shared" si="7"/>
        <v>1741</v>
      </c>
      <c r="X14" s="189">
        <f t="shared" si="7"/>
        <v>1753</v>
      </c>
      <c r="Y14" s="189">
        <f t="shared" si="7"/>
        <v>339</v>
      </c>
      <c r="Z14" s="189">
        <f t="shared" si="7"/>
        <v>377</v>
      </c>
      <c r="AA14" s="189">
        <f t="shared" si="7"/>
        <v>311</v>
      </c>
      <c r="AB14" s="189">
        <f t="shared" si="7"/>
        <v>405</v>
      </c>
      <c r="AC14" s="189">
        <f t="shared" si="7"/>
        <v>0</v>
      </c>
      <c r="AD14" s="189">
        <f t="shared" si="7"/>
        <v>0</v>
      </c>
      <c r="AE14" s="189">
        <f t="shared" si="7"/>
        <v>0</v>
      </c>
      <c r="AF14" s="189">
        <f>SUBTOTAL(9,AF9:AF13)</f>
        <v>0</v>
      </c>
      <c r="AG14" s="189">
        <f t="shared" ref="AG14:AT14" si="8">SUBTOTAL(9,AG8:AG13)</f>
        <v>429</v>
      </c>
      <c r="AH14" s="189">
        <f t="shared" si="8"/>
        <v>581</v>
      </c>
      <c r="AI14" s="189">
        <f t="shared" si="8"/>
        <v>662</v>
      </c>
      <c r="AJ14" s="189">
        <f t="shared" si="8"/>
        <v>348</v>
      </c>
      <c r="AK14" s="189">
        <f t="shared" si="8"/>
        <v>0</v>
      </c>
      <c r="AL14" s="189">
        <f t="shared" si="8"/>
        <v>0</v>
      </c>
      <c r="AM14" s="189">
        <f t="shared" si="8"/>
        <v>0</v>
      </c>
      <c r="AN14" s="189">
        <f t="shared" si="8"/>
        <v>0</v>
      </c>
      <c r="AO14" s="189">
        <f t="shared" si="8"/>
        <v>13</v>
      </c>
      <c r="AP14" s="189">
        <f t="shared" si="8"/>
        <v>13</v>
      </c>
      <c r="AQ14" s="189">
        <f t="shared" si="8"/>
        <v>13</v>
      </c>
      <c r="AR14" s="189">
        <f t="shared" si="8"/>
        <v>13</v>
      </c>
      <c r="AS14" s="189">
        <f t="shared" si="8"/>
        <v>0</v>
      </c>
      <c r="AT14" s="189">
        <f t="shared" si="8"/>
        <v>0</v>
      </c>
      <c r="AU14" s="209"/>
      <c r="AV14" s="134"/>
      <c r="AW14" s="209"/>
      <c r="AX14" s="134"/>
      <c r="AY14" s="189">
        <f>SUBTOTAL(9,AY8:AY13)</f>
        <v>11106</v>
      </c>
      <c r="AZ14" s="189">
        <f>SUBTOTAL(9,AZ8:AZ13)</f>
        <v>5235</v>
      </c>
      <c r="BA14" s="189">
        <f>SUBTOTAL(9,BA8:BA13)</f>
        <v>5346</v>
      </c>
      <c r="BB14" s="189">
        <f>SUBTOTAL(9,BB8:BB13)</f>
        <v>11061</v>
      </c>
      <c r="BC14" s="189">
        <f>SUBTOTAL(9,BC8:BC13)</f>
        <v>1763</v>
      </c>
      <c r="BD14" s="210">
        <f>IF(ISNUMBER(BA14/AZ14),BA14/AZ14," - ")</f>
        <v>1.0212034383954154</v>
      </c>
      <c r="BE14" s="211">
        <f>IF(ISNUMBER(BB14/BA14),BB14/BA14, " - ")</f>
        <v>2.0690235690235692</v>
      </c>
      <c r="BF14" s="211">
        <f>IF(ISNUMBER(BC14/BA14),BC14/BA14, " - ")</f>
        <v>0.32977927422371867</v>
      </c>
      <c r="BG14" s="212">
        <f>IF(ISNUMBER((AY14+AZ14)/BA14),(AY14+AZ14)/BA14," - ")</f>
        <v>3.0566778900112235</v>
      </c>
      <c r="BH14" s="145">
        <f>SUBTOTAL(9,BH8:BH13)</f>
        <v>13</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v>1305</v>
      </c>
      <c r="J16" s="188">
        <v>2587</v>
      </c>
      <c r="K16" s="188">
        <v>2434</v>
      </c>
      <c r="L16" s="188">
        <v>1328</v>
      </c>
      <c r="M16" s="188">
        <v>583</v>
      </c>
      <c r="N16" s="188">
        <v>1285</v>
      </c>
      <c r="O16" s="186">
        <v>185</v>
      </c>
      <c r="P16" s="188">
        <v>296</v>
      </c>
      <c r="Q16" s="188">
        <v>332</v>
      </c>
      <c r="R16" s="188">
        <v>495</v>
      </c>
      <c r="S16" s="188">
        <v>1156</v>
      </c>
      <c r="T16" s="188">
        <v>2497</v>
      </c>
      <c r="U16" s="188">
        <v>2579</v>
      </c>
      <c r="V16" s="188">
        <v>1090</v>
      </c>
      <c r="W16" s="188">
        <v>649</v>
      </c>
      <c r="X16" s="194">
        <v>1361</v>
      </c>
      <c r="Y16" s="207">
        <v>0</v>
      </c>
      <c r="Z16" s="188">
        <v>0</v>
      </c>
      <c r="AA16" s="188">
        <v>0</v>
      </c>
      <c r="AB16" s="188">
        <v>0</v>
      </c>
      <c r="AC16" s="188">
        <v>3</v>
      </c>
      <c r="AD16" s="188">
        <v>34</v>
      </c>
      <c r="AE16" s="188">
        <v>34</v>
      </c>
      <c r="AF16" s="194">
        <v>3</v>
      </c>
      <c r="AG16" s="207">
        <v>0</v>
      </c>
      <c r="AH16" s="188">
        <v>0</v>
      </c>
      <c r="AI16" s="188">
        <v>0</v>
      </c>
      <c r="AJ16" s="208">
        <v>0</v>
      </c>
      <c r="AK16" s="187">
        <v>4</v>
      </c>
      <c r="AL16" s="188">
        <v>36</v>
      </c>
      <c r="AM16" s="188">
        <v>40</v>
      </c>
      <c r="AN16" s="194">
        <v>0</v>
      </c>
      <c r="AO16" s="264">
        <v>5</v>
      </c>
      <c r="AP16" s="160">
        <v>5</v>
      </c>
      <c r="AQ16" s="160">
        <v>5</v>
      </c>
      <c r="AR16" s="160">
        <v>5</v>
      </c>
      <c r="AS16" s="350" t="s">
        <v>588</v>
      </c>
      <c r="AT16" s="208" t="s">
        <v>360</v>
      </c>
      <c r="AU16" s="207"/>
      <c r="AV16" s="208"/>
      <c r="AW16" s="207"/>
      <c r="AX16" s="208"/>
      <c r="AY16" s="130">
        <f t="shared" ref="AY16:BB17" si="10">IF(ISNUMBER(IF(D_I="SI",S16,S16+AK16)),IF(D_I="SI",S16,S16+AK16)," - ")</f>
        <v>1156</v>
      </c>
      <c r="AZ16" s="131">
        <f t="shared" si="10"/>
        <v>2497</v>
      </c>
      <c r="BA16" s="131">
        <f t="shared" si="10"/>
        <v>2579</v>
      </c>
      <c r="BB16" s="131">
        <f t="shared" si="10"/>
        <v>1090</v>
      </c>
      <c r="BC16" s="127">
        <f>IF(ISNUMBER(W16),W16," - ")</f>
        <v>649</v>
      </c>
      <c r="BD16" s="128">
        <f>IF(ISNUMBER(BA16/AZ16),BA16/AZ16," - ")</f>
        <v>1.0328394072887466</v>
      </c>
      <c r="BE16" s="129">
        <f>IF(ISNUMBER(BB16/BA16),BB16/BA16, " - ")</f>
        <v>0.42264443582784023</v>
      </c>
      <c r="BF16" s="129">
        <f>IF(ISNUMBER(BC16/BA16),BC16/BA16, " - ")</f>
        <v>0.25164792555253973</v>
      </c>
      <c r="BG16" s="201">
        <f t="shared" ref="BG16:BG19" si="11">IF(ISNUMBER((AY16+AZ16)/BA16),(AY16+AZ16)/BA16," - ")</f>
        <v>1.4164404808065141</v>
      </c>
      <c r="BH16" s="160">
        <v>5</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t="s">
        <v>546</v>
      </c>
      <c r="J17" s="188" t="s">
        <v>542</v>
      </c>
      <c r="K17" s="188" t="s">
        <v>543</v>
      </c>
      <c r="L17" s="188" t="s">
        <v>544</v>
      </c>
      <c r="M17" s="188" t="s">
        <v>549</v>
      </c>
      <c r="N17" s="188" t="s">
        <v>168</v>
      </c>
      <c r="O17" s="186" t="s">
        <v>248</v>
      </c>
      <c r="P17" s="188" t="s">
        <v>528</v>
      </c>
      <c r="Q17" s="188" t="s">
        <v>529</v>
      </c>
      <c r="R17" s="188" t="s">
        <v>530</v>
      </c>
      <c r="S17" s="188"/>
      <c r="T17" s="188"/>
      <c r="U17" s="188"/>
      <c r="V17" s="188"/>
      <c r="W17" s="188"/>
      <c r="X17" s="194"/>
      <c r="Y17" s="207"/>
      <c r="Z17" s="188"/>
      <c r="AA17" s="188"/>
      <c r="AB17" s="188"/>
      <c r="AC17" s="188" t="s">
        <v>46</v>
      </c>
      <c r="AD17" s="188" t="s">
        <v>51</v>
      </c>
      <c r="AE17" s="188" t="s">
        <v>52</v>
      </c>
      <c r="AF17" s="194" t="s">
        <v>53</v>
      </c>
      <c r="AG17" s="207"/>
      <c r="AH17" s="188"/>
      <c r="AI17" s="188"/>
      <c r="AJ17" s="208"/>
      <c r="AK17" s="187"/>
      <c r="AL17" s="188"/>
      <c r="AM17" s="188"/>
      <c r="AN17" s="194"/>
      <c r="AO17" s="264">
        <v>0</v>
      </c>
      <c r="AP17" s="160">
        <v>0</v>
      </c>
      <c r="AQ17" s="160">
        <v>0</v>
      </c>
      <c r="AR17" s="160">
        <v>0</v>
      </c>
      <c r="AS17" s="350" t="s">
        <v>545</v>
      </c>
      <c r="AT17" s="208"/>
      <c r="AU17" s="207"/>
      <c r="AV17" s="208"/>
      <c r="AW17" s="207"/>
      <c r="AX17" s="208"/>
      <c r="AY17" s="128" t="str">
        <f t="shared" si="10"/>
        <v xml:space="preserve"> - </v>
      </c>
      <c r="AZ17" s="129" t="str">
        <f t="shared" si="10"/>
        <v xml:space="preserve"> - </v>
      </c>
      <c r="BA17" s="129" t="str">
        <f t="shared" si="10"/>
        <v xml:space="preserve"> - </v>
      </c>
      <c r="BB17" s="129" t="str">
        <f t="shared" si="10"/>
        <v xml:space="preserve"> - </v>
      </c>
      <c r="BC17" s="127" t="str">
        <f>IF(ISNUMBER(W17),W17," - ")</f>
        <v xml:space="preserve"> - </v>
      </c>
      <c r="BD17" s="128" t="str">
        <f t="shared" ref="BD17:BD19" si="12">IF(ISNUMBER(BA17/AZ17),BA17/AZ17," - ")</f>
        <v xml:space="preserve"> - </v>
      </c>
      <c r="BE17" s="129" t="str">
        <f t="shared" ref="BE17:BE19" si="13">IF(ISNUMBER(BB17/BA17),BB17/BA17, " - ")</f>
        <v xml:space="preserve"> - </v>
      </c>
      <c r="BF17" s="129" t="str">
        <f t="shared" ref="BF17:BF19" si="14">IF(ISNUMBER(BC17/BA17),BC17/BA17, " - ")</f>
        <v xml:space="preserve"> - </v>
      </c>
      <c r="BG17" s="201" t="str">
        <f t="shared" si="11"/>
        <v xml:space="preserve"> - </v>
      </c>
      <c r="BH17" s="160">
        <v>0</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70</v>
      </c>
      <c r="J18" s="188">
        <v>411</v>
      </c>
      <c r="K18" s="188">
        <v>432</v>
      </c>
      <c r="L18" s="188">
        <v>53</v>
      </c>
      <c r="M18" s="188">
        <v>42</v>
      </c>
      <c r="N18" s="188">
        <v>212</v>
      </c>
      <c r="O18" s="188">
        <v>0</v>
      </c>
      <c r="P18" s="188">
        <v>7</v>
      </c>
      <c r="Q18" s="188">
        <v>4</v>
      </c>
      <c r="R18" s="188">
        <v>12</v>
      </c>
      <c r="S18" s="188">
        <v>79</v>
      </c>
      <c r="T18" s="188">
        <v>324</v>
      </c>
      <c r="U18" s="188">
        <v>346</v>
      </c>
      <c r="V18" s="188">
        <v>59</v>
      </c>
      <c r="W18" s="188">
        <v>38</v>
      </c>
      <c r="X18" s="194">
        <v>178</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1</v>
      </c>
      <c r="AQ18" s="159">
        <v>1</v>
      </c>
      <c r="AR18" s="160">
        <v>1</v>
      </c>
      <c r="AS18" s="349" t="s">
        <v>864</v>
      </c>
      <c r="AT18" s="214"/>
      <c r="AU18" s="205"/>
      <c r="AV18" s="214"/>
      <c r="AW18" s="205"/>
      <c r="AX18" s="214"/>
      <c r="AY18" s="130">
        <f t="shared" ref="AY18:BB19" si="15">IF(ISNUMBER(S18),S18," - ")</f>
        <v>79</v>
      </c>
      <c r="AZ18" s="131">
        <f t="shared" si="15"/>
        <v>324</v>
      </c>
      <c r="BA18" s="131">
        <f t="shared" si="15"/>
        <v>346</v>
      </c>
      <c r="BB18" s="131">
        <f t="shared" si="15"/>
        <v>59</v>
      </c>
      <c r="BC18" s="127">
        <f>IF(ISNUMBER(W18),W18," - ")</f>
        <v>38</v>
      </c>
      <c r="BD18" s="128">
        <f>IF(ISNUMBER(BA18/AZ18),BA18/AZ18," - ")</f>
        <v>1.0679012345679013</v>
      </c>
      <c r="BE18" s="129">
        <f>IF(ISNUMBER(BB18/BA18),BB18/BA18, " - ")</f>
        <v>0.17052023121387283</v>
      </c>
      <c r="BF18" s="129">
        <f>IF(ISNUMBER(BC18/BA18),BC18/BA18, " - ")</f>
        <v>0.10982658959537572</v>
      </c>
      <c r="BG18" s="201">
        <f>IF(ISNUMBER((AY18+AZ18)/BA18),(AY18+AZ18)/BA18," - ")</f>
        <v>1.1647398843930636</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1375</v>
      </c>
      <c r="J20" s="189">
        <f t="shared" si="16"/>
        <v>2998</v>
      </c>
      <c r="K20" s="189">
        <f t="shared" si="16"/>
        <v>2866</v>
      </c>
      <c r="L20" s="189">
        <f t="shared" si="16"/>
        <v>1381</v>
      </c>
      <c r="M20" s="189">
        <f t="shared" si="16"/>
        <v>625</v>
      </c>
      <c r="N20" s="189">
        <f t="shared" si="16"/>
        <v>1497</v>
      </c>
      <c r="O20" s="189">
        <f t="shared" si="16"/>
        <v>185</v>
      </c>
      <c r="P20" s="189">
        <f t="shared" si="16"/>
        <v>303</v>
      </c>
      <c r="Q20" s="189">
        <f t="shared" si="16"/>
        <v>336</v>
      </c>
      <c r="R20" s="189">
        <f t="shared" si="16"/>
        <v>507</v>
      </c>
      <c r="S20" s="189">
        <f t="shared" si="16"/>
        <v>1235</v>
      </c>
      <c r="T20" s="189">
        <f t="shared" si="16"/>
        <v>2821</v>
      </c>
      <c r="U20" s="189">
        <f t="shared" si="16"/>
        <v>2925</v>
      </c>
      <c r="V20" s="189">
        <f t="shared" si="16"/>
        <v>1149</v>
      </c>
      <c r="W20" s="189">
        <f t="shared" si="16"/>
        <v>687</v>
      </c>
      <c r="X20" s="189">
        <f t="shared" si="16"/>
        <v>1539</v>
      </c>
      <c r="Y20" s="189">
        <f t="shared" si="16"/>
        <v>0</v>
      </c>
      <c r="Z20" s="189">
        <f t="shared" si="16"/>
        <v>0</v>
      </c>
      <c r="AA20" s="189">
        <f t="shared" si="16"/>
        <v>0</v>
      </c>
      <c r="AB20" s="189">
        <f t="shared" si="16"/>
        <v>0</v>
      </c>
      <c r="AC20" s="189">
        <f t="shared" si="16"/>
        <v>3</v>
      </c>
      <c r="AD20" s="189">
        <f t="shared" si="16"/>
        <v>34</v>
      </c>
      <c r="AE20" s="189">
        <f t="shared" si="16"/>
        <v>34</v>
      </c>
      <c r="AF20" s="189">
        <f t="shared" si="16"/>
        <v>3</v>
      </c>
      <c r="AG20" s="189">
        <f t="shared" si="16"/>
        <v>0</v>
      </c>
      <c r="AH20" s="189">
        <f t="shared" si="16"/>
        <v>0</v>
      </c>
      <c r="AI20" s="189">
        <f t="shared" si="16"/>
        <v>0</v>
      </c>
      <c r="AJ20" s="189">
        <f t="shared" si="16"/>
        <v>0</v>
      </c>
      <c r="AK20" s="189">
        <f t="shared" si="16"/>
        <v>4</v>
      </c>
      <c r="AL20" s="189">
        <f t="shared" si="16"/>
        <v>36</v>
      </c>
      <c r="AM20" s="189">
        <f t="shared" si="16"/>
        <v>40</v>
      </c>
      <c r="AN20" s="189">
        <f t="shared" si="16"/>
        <v>0</v>
      </c>
      <c r="AO20" s="189">
        <f t="shared" si="16"/>
        <v>6</v>
      </c>
      <c r="AP20" s="189">
        <f t="shared" si="16"/>
        <v>6</v>
      </c>
      <c r="AQ20" s="189">
        <f t="shared" si="16"/>
        <v>6</v>
      </c>
      <c r="AR20" s="189">
        <f t="shared" si="16"/>
        <v>6</v>
      </c>
      <c r="AS20" s="189">
        <f t="shared" si="16"/>
        <v>0</v>
      </c>
      <c r="AT20" s="189">
        <f t="shared" si="16"/>
        <v>0</v>
      </c>
      <c r="AU20" s="209"/>
      <c r="AV20" s="134"/>
      <c r="AW20" s="209"/>
      <c r="AX20" s="134"/>
      <c r="AY20" s="189">
        <f>SUBTOTAL(9,AY15:AY19)</f>
        <v>1235</v>
      </c>
      <c r="AZ20" s="189">
        <f>SUBTOTAL(9,AZ15:AZ19)</f>
        <v>2821</v>
      </c>
      <c r="BA20" s="189">
        <f>SUBTOTAL(9,BA15:BA19)</f>
        <v>2925</v>
      </c>
      <c r="BB20" s="189">
        <f>SUBTOTAL(9,BB15:BB19)</f>
        <v>1149</v>
      </c>
      <c r="BC20" s="189">
        <f>SUBTOTAL(9,BC15:BC19)</f>
        <v>687</v>
      </c>
      <c r="BD20" s="210">
        <f>IF(ISNUMBER(BA20/AZ20),BA20/AZ20," - ")</f>
        <v>1.0368663594470047</v>
      </c>
      <c r="BE20" s="211">
        <f>IF(ISNUMBER(BB20/BA20),BB20/BA20, " - ")</f>
        <v>0.39282051282051283</v>
      </c>
      <c r="BF20" s="211">
        <f>IF(ISNUMBER(BC20/BA20),BC20/BA20, " - ")</f>
        <v>0.23487179487179488</v>
      </c>
      <c r="BG20" s="212">
        <f>IF(ISNUMBER((AY20+AZ20)/BA20),(AY20+AZ20)/BA20," - ")</f>
        <v>1.3866666666666667</v>
      </c>
      <c r="BH20" s="189">
        <f>SUBTOTAL(9,BH15:BH19)</f>
        <v>6</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12293</v>
      </c>
      <c r="J21" s="136">
        <f t="shared" si="19"/>
        <v>4739</v>
      </c>
      <c r="K21" s="136">
        <f t="shared" si="19"/>
        <v>5669</v>
      </c>
      <c r="L21" s="136">
        <f t="shared" si="19"/>
        <v>11009</v>
      </c>
      <c r="M21" s="136">
        <f t="shared" si="19"/>
        <v>1915</v>
      </c>
      <c r="N21" s="136">
        <f t="shared" si="19"/>
        <v>2603</v>
      </c>
      <c r="O21" s="136">
        <f t="shared" si="19"/>
        <v>1163</v>
      </c>
      <c r="P21" s="136">
        <f t="shared" si="19"/>
        <v>947</v>
      </c>
      <c r="Q21" s="136">
        <f t="shared" si="19"/>
        <v>1313</v>
      </c>
      <c r="R21" s="136">
        <f t="shared" si="19"/>
        <v>9104</v>
      </c>
      <c r="S21" s="136">
        <f t="shared" si="19"/>
        <v>11912</v>
      </c>
      <c r="T21" s="136">
        <f t="shared" si="19"/>
        <v>7475</v>
      </c>
      <c r="U21" s="136">
        <f t="shared" si="19"/>
        <v>7609</v>
      </c>
      <c r="V21" s="136">
        <f t="shared" si="19"/>
        <v>11862</v>
      </c>
      <c r="W21" s="136">
        <f t="shared" si="19"/>
        <v>2428</v>
      </c>
      <c r="X21" s="136">
        <f t="shared" si="19"/>
        <v>3292</v>
      </c>
      <c r="Y21" s="136">
        <f t="shared" si="19"/>
        <v>339</v>
      </c>
      <c r="Z21" s="136">
        <f t="shared" si="19"/>
        <v>377</v>
      </c>
      <c r="AA21" s="136">
        <f t="shared" si="19"/>
        <v>311</v>
      </c>
      <c r="AB21" s="136">
        <f t="shared" si="19"/>
        <v>405</v>
      </c>
      <c r="AC21" s="136">
        <f t="shared" si="19"/>
        <v>3</v>
      </c>
      <c r="AD21" s="136">
        <f t="shared" si="19"/>
        <v>34</v>
      </c>
      <c r="AE21" s="136">
        <f t="shared" si="19"/>
        <v>34</v>
      </c>
      <c r="AF21" s="136">
        <f t="shared" si="19"/>
        <v>3</v>
      </c>
      <c r="AG21" s="136">
        <f t="shared" si="19"/>
        <v>429</v>
      </c>
      <c r="AH21" s="136">
        <f t="shared" si="19"/>
        <v>581</v>
      </c>
      <c r="AI21" s="136">
        <f t="shared" si="19"/>
        <v>662</v>
      </c>
      <c r="AJ21" s="136">
        <f t="shared" si="19"/>
        <v>348</v>
      </c>
      <c r="AK21" s="136">
        <f t="shared" si="19"/>
        <v>4</v>
      </c>
      <c r="AL21" s="136">
        <f t="shared" si="19"/>
        <v>36</v>
      </c>
      <c r="AM21" s="136">
        <f t="shared" si="19"/>
        <v>40</v>
      </c>
      <c r="AN21" s="215">
        <f t="shared" si="19"/>
        <v>0</v>
      </c>
      <c r="AO21" s="216">
        <v>18</v>
      </c>
      <c r="AP21" s="216">
        <v>18</v>
      </c>
      <c r="AQ21" s="216">
        <v>18</v>
      </c>
      <c r="AR21" s="216">
        <v>18</v>
      </c>
      <c r="AS21" s="158">
        <f t="shared" si="19"/>
        <v>0</v>
      </c>
      <c r="AT21" s="158">
        <f t="shared" si="19"/>
        <v>0</v>
      </c>
      <c r="AU21" s="216"/>
      <c r="AV21" s="217"/>
      <c r="AW21" s="216"/>
      <c r="AX21" s="217"/>
      <c r="AY21" s="135">
        <f>SUBTOTAL(9,AY9:AY20)</f>
        <v>12341</v>
      </c>
      <c r="AZ21" s="136">
        <f>SUBTOTAL(9,AZ9:AZ20)</f>
        <v>8056</v>
      </c>
      <c r="BA21" s="136">
        <f>SUBTOTAL(9,BA9:BA20)</f>
        <v>8271</v>
      </c>
      <c r="BB21" s="136">
        <f>SUBTOTAL(9,BB9:BB20)</f>
        <v>12210</v>
      </c>
      <c r="BC21" s="137">
        <f>SUBTOTAL(9,BC9:BC20)</f>
        <v>2450</v>
      </c>
      <c r="BD21" s="218">
        <f>IF(ISNUMBER(BA21/AZ21),BA21/AZ21," - ")</f>
        <v>1.0266881827209533</v>
      </c>
      <c r="BE21" s="215">
        <f>IF(ISNUMBER(BB21/BA21),BB21/BA21, " - ")</f>
        <v>1.4762422923467537</v>
      </c>
      <c r="BF21" s="215">
        <f>IF(ISNUMBER(BC21/BA21),BC21/BA21, " - ")</f>
        <v>0.29621569338653125</v>
      </c>
      <c r="BG21" s="137">
        <f>IF(ISNUMBER((AY21+AZ21)/BA21),(AY21+AZ21)/BA21," - ")</f>
        <v>2.4660863257163586</v>
      </c>
      <c r="BH21" s="216">
        <f>SUBTOTAL(9,BH9:BH20)</f>
        <v>19</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FJJNKDnCScK34Xd7Hp+BeaxNt00+mcgpt+Hu6oBGT+nPYW7CqTypblXeBp2k5xe9N9xgZsMhDr5g7aSNkOz2mw==" saltValue="A0nN4xMTS1Tbw/zvMRaTU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TGHWzfBV4t+W6/lhcJLZqpV/6ZX30SWLocN1SbRSNPtwEXSHtiQuZv/GrmXnlDEPG7Bm33301sR7+BOe6LdFNw==" saltValue="peATWDOrT/PWM5FI52vgk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CANTABRIA</v>
      </c>
      <c r="F1" s="532"/>
    </row>
    <row r="2" spans="1:74" ht="16.5" customHeight="1">
      <c r="C2" s="521" t="str">
        <f>Criterios!A10 &amp;"  "&amp;Criterios!B10 &amp; "  " &amp; IF(NOT(ISBLANK(Criterios!A11)),Criterios!A11 &amp;"  "&amp;Criterios!B11,"")</f>
        <v>Provincias  CANTABRIA  Resumenes por Partidos Judiciales  SANTANDER</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10</v>
      </c>
      <c r="B9" s="653" t="s">
        <v>273</v>
      </c>
      <c r="C9" s="671" t="str">
        <f>Datos!A9</f>
        <v xml:space="preserve">Jdos. 1ª Instancia   </v>
      </c>
      <c r="D9" s="544"/>
      <c r="E9" s="670">
        <f>IF(ISNUMBER(Datos!AQ9),Datos!AQ9," - ")</f>
        <v>10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f>IF(ISNUMBER(Datos!Z9),Datos!Z9," - ")</f>
        <v>102</v>
      </c>
      <c r="O9" s="504"/>
      <c r="P9" s="504"/>
      <c r="Q9" s="502">
        <f>IF(ISNUMBER(Datos!P9),Datos!P9,0)</f>
        <v>567</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f>IF(ISNUMBER(Datos!Q9),Datos!Q9," - ")</f>
        <v>898</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f>IF(ISNUMBER(Datos!AB9),Datos!AB9,"-")</f>
        <v>172</v>
      </c>
      <c r="AI9" s="504" t="str">
        <f>IF(ISNUMBER(Datos!CD9),Datos!CD9,"-")</f>
        <v>-</v>
      </c>
      <c r="AJ9" s="504" t="str">
        <f>IF(ISNUMBER(Datos!EN9),Datos!EN9," - ")</f>
        <v xml:space="preserve"> - </v>
      </c>
      <c r="AK9" s="504"/>
      <c r="AL9" s="505"/>
      <c r="AM9" s="672">
        <f>IF(ISNUMBER(Datos!R9),Datos!R9," - ")</f>
        <v>7814</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f>IF(ISNUMBER(Datos!M9),Datos!M9," - ")</f>
        <v>1171</v>
      </c>
      <c r="BD9" s="620">
        <f>IF(ISNUMBER(Datos!N9),Datos!N9," - ")</f>
        <v>787</v>
      </c>
      <c r="BE9" s="620" t="str">
        <f>IF(ISNUMBER(Datos!BW9),Datos!BW9," - ")</f>
        <v xml:space="preserve"> - </v>
      </c>
      <c r="BF9" s="668" t="str">
        <f>IF(ISNUMBER(Datos!BX9),Datos!BX9," - ")</f>
        <v xml:space="preserve"> - </v>
      </c>
      <c r="BG9" s="669">
        <f>IF(ISNUMBER(IF(J_V="SI",Datos!K9/Datos!J9,(Datos!K9+Datos!AA9)/(Datos!J9+Datos!Z9))),IF(J_V="SI",Datos!K9/Datos!J9,(Datos!K9+Datos!AA9)/(Datos!J9+Datos!Z9))," - ")</f>
        <v>1.7149501661129569</v>
      </c>
      <c r="BH9" s="670">
        <f>IF(ISNUMBER(((IF(J_V="SI",Datos!L9/Datos!K9,(Datos!L9+Datos!AB9)/(Datos!K9+Datos!AA9)))*11)/factor_trimestre),((IF(J_V="SI",Datos!L9/Datos!K9,(Datos!L9+Datos!AB9)/(Datos!K9+Datos!AA9)))*11)/factor_trimestre," - ")</f>
        <v>10.422704378148005</v>
      </c>
      <c r="BI9" s="669"/>
      <c r="BJ9" s="510" t="str">
        <f>IF(ISNUMBER(Datos!CI9/Datos!CJ9),Datos!CI9/Datos!CJ9," - ")</f>
        <v xml:space="preserve"> - </v>
      </c>
      <c r="BK9" s="656" t="str">
        <f>IF(ISNUMBER(Datos!CJ9),Datos!CJ9," - ")</f>
        <v xml:space="preserve"> - </v>
      </c>
      <c r="BL9" s="510" t="str">
        <f>IF(ISNUMBER((J9-AB9+L9)/(F9)),(J9-AB9+L9)/(F9)," - ")</f>
        <v xml:space="preserve"> - </v>
      </c>
      <c r="BM9" s="673">
        <f>IF(ISNUMBER((Datos!P9-Datos!Q9+Datos!DE9)/(Datos!R9-Datos!P9+Datos!Q9-Datos!DE9)),(Datos!P9-Datos!Q9+Datos!DE9)/(Datos!R9-Datos!P9+Datos!Q9-Datos!DE9)," - ")</f>
        <v>-4.063842848373235E-2</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1</v>
      </c>
      <c r="F10" s="507">
        <f>IF(ISNUMBER(Datos!L10+Datos!K10-Datos!J10),Datos!L10+Datos!K10-Datos!J10," - ")</f>
        <v>37</v>
      </c>
      <c r="G10" s="498">
        <f>IF(ISNUMBER(Datos!I10),Datos!I10," - ")</f>
        <v>37</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11</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41</v>
      </c>
      <c r="AC10" s="502">
        <f>IF(ISNUMBER(Datos!Q10),Datos!Q10," - ")</f>
        <v>4</v>
      </c>
      <c r="AD10" s="504"/>
      <c r="AE10" s="517"/>
      <c r="AF10" s="506">
        <f>IF(ISNUMBER(Datos!L10),Datos!L10,"-")</f>
        <v>37</v>
      </c>
      <c r="AG10" s="504"/>
      <c r="AH10" s="504"/>
      <c r="AI10" s="504"/>
      <c r="AJ10" s="504"/>
      <c r="AK10" s="504"/>
      <c r="AL10" s="505"/>
      <c r="AM10" s="672">
        <f>IF(ISNUMBER(Datos!R10),Datos!R10," - ")</f>
        <v>77</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20</v>
      </c>
      <c r="BD10" s="620">
        <f>IF(ISNUMBER(Datos!N10),Datos!N10," - ")</f>
        <v>7</v>
      </c>
      <c r="BE10" s="620" t="str">
        <f>IF(ISNUMBER(Datos!BW10),Datos!BW10," - ")</f>
        <v xml:space="preserve"> - </v>
      </c>
      <c r="BF10" s="668" t="str">
        <f>IF(ISNUMBER(Datos!BX10),Datos!BX10," - ")</f>
        <v xml:space="preserve"> - </v>
      </c>
      <c r="BG10" s="669">
        <f>IF(ISNUMBER(Datos!K10/Datos!J10),Datos!K10/Datos!J10," - ")</f>
        <v>1</v>
      </c>
      <c r="BH10" s="670">
        <f>IF(ISNUMBER(((Datos!L10/Datos!K10)*11)/factor_trimestre),((Datos!L10/Datos!K10)*11)/factor_trimestre," - ")</f>
        <v>2.7073170731707319</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0.1</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2</v>
      </c>
      <c r="B11" s="654" t="s">
        <v>273</v>
      </c>
      <c r="C11" s="655" t="str">
        <f>Datos!A11</f>
        <v xml:space="preserve">Jdos. Familia                                   </v>
      </c>
      <c r="D11" s="549"/>
      <c r="E11" s="670">
        <f>IF(ISNUMBER(Datos!AQ11),Datos!AQ11," - ")</f>
        <v>2</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f>IF(ISNUMBER(Datos!Z11),Datos!Z11," - ")</f>
        <v>275</v>
      </c>
      <c r="O11" s="504"/>
      <c r="P11" s="504"/>
      <c r="Q11" s="502">
        <f>IF(ISNUMBER(Datos!P11),Datos!P11,0)</f>
        <v>66</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f>IF(ISNUMBER(Datos!Q11),Datos!Q11," - ")</f>
        <v>75</v>
      </c>
      <c r="AD11" s="504"/>
      <c r="AE11" s="517"/>
      <c r="AF11" s="506" t="str">
        <f>IF(ISNUMBER(IF(J_V="SI",Datos!L11,Datos!L11+Datos!AB11)-IF(Monitorios="SI",Datos!CD11,0)),
                          IF(J_V="SI",Datos!L11,Datos!L11+Datos!AB11)-IF(Monitorios="SI",Datos!CD11,0),
                          " - ")</f>
        <v xml:space="preserve"> - </v>
      </c>
      <c r="AG11" s="504"/>
      <c r="AH11" s="504">
        <f>IF(ISNUMBER(Datos!AB11),Datos!AB11,"-")</f>
        <v>233</v>
      </c>
      <c r="AI11" s="504"/>
      <c r="AJ11" s="504"/>
      <c r="AK11" s="504"/>
      <c r="AL11" s="505"/>
      <c r="AM11" s="672">
        <f>IF(ISNUMBER(Datos!R11),Datos!R11," - ")</f>
        <v>706</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f>IF(ISNUMBER(Datos!M11),Datos!M11," - ")</f>
        <v>99</v>
      </c>
      <c r="BD11" s="620">
        <f>IF(ISNUMBER(Datos!N11),Datos!N11," - ")</f>
        <v>312</v>
      </c>
      <c r="BE11" s="620" t="str">
        <f>IF(ISNUMBER(Datos!BW11),Datos!BW11," - ")</f>
        <v xml:space="preserve"> - </v>
      </c>
      <c r="BF11" s="668" t="str">
        <f>IF(ISNUMBER(Datos!BX11),Datos!BX11," - ")</f>
        <v xml:space="preserve"> - </v>
      </c>
      <c r="BG11" s="669">
        <f>IF(ISNUMBER(IF(J_V="SI",Datos!K11/Datos!J11,(Datos!K11+Datos!AA11)/(Datos!J11+Datos!Z11))),IF(J_V="SI",Datos!K11/Datos!J11,(Datos!K11+Datos!AA11)/(Datos!J11+Datos!Z11))," - ")</f>
        <v>0.8601398601398601</v>
      </c>
      <c r="BH11" s="670">
        <f>IF(ISNUMBER(((IF(J_V="SI",Datos!L11/Datos!K11,(Datos!L11+Datos!AB11)/(Datos!K11+Datos!AA11)))*11)/factor_trimestre),((IF(J_V="SI",Datos!L11/Datos!K11,(Datos!L11+Datos!AB11)/(Datos!K11+Datos!AA11)))*11)/factor_trimestre," - ")</f>
        <v>6.274390243902439</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f>IF(ISNUMBER((Datos!P11-Datos!Q11+Datos!DE11)/(Datos!R11-Datos!P11+Datos!Q11-Datos!DE11)),(Datos!P11-Datos!Q11+Datos!DE11)/(Datos!R11-Datos!P11+Datos!Q11-Datos!DE11)," - ")</f>
        <v>-1.2587412587412588E-2</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0</v>
      </c>
      <c r="B12" s="654" t="s">
        <v>273</v>
      </c>
      <c r="C12" s="655" t="str">
        <f>Datos!A12</f>
        <v xml:space="preserve">Jdos. 1ª Instª. e Instr.                        </v>
      </c>
      <c r="D12" s="549"/>
      <c r="E12" s="670">
        <f>IF(ISNUMBER(Datos!AQ12),Datos!AQ12," - ")</f>
        <v>0</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t="str">
        <f>IF(ISNUMBER(Datos!Z12),Datos!Z12," - ")</f>
        <v xml:space="preserve"> - </v>
      </c>
      <c r="O12" s="504"/>
      <c r="P12" s="504"/>
      <c r="Q12" s="502">
        <f>IF(ISNUMBER(Datos!P12),Datos!P12,0)</f>
        <v>0</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t="str">
        <f>IF(ISNUMBER(Datos!Q12),Datos!Q12," - ")</f>
        <v xml:space="preserve"> - </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t="str">
        <f>IF(ISNUMBER(Datos!AB12),Datos!AB12,"-")</f>
        <v>-</v>
      </c>
      <c r="AI12" s="504" t="str">
        <f>IF(ISNUMBER(Datos!CD12),Datos!CD12,"-")</f>
        <v>-</v>
      </c>
      <c r="AJ12" s="504" t="str">
        <f>IF(ISNUMBER(Datos!EN12),Datos!EN12," - ")</f>
        <v xml:space="preserve"> - </v>
      </c>
      <c r="AK12" s="504"/>
      <c r="AL12" s="505"/>
      <c r="AM12" s="672" t="str">
        <f>IF(ISNUMBER(Datos!R12),Datos!R12," - ")</f>
        <v xml:space="preserve"> - </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t="str">
        <f>IF(ISNUMBER(Datos!M12),Datos!M12," - ")</f>
        <v xml:space="preserve"> - </v>
      </c>
      <c r="BD12" s="620" t="str">
        <f>IF(ISNUMBER(Datos!N12),Datos!N12," - ")</f>
        <v xml:space="preserve"> - </v>
      </c>
      <c r="BE12" s="620" t="str">
        <f>IF(ISNUMBER(Datos!BW12),Datos!BW12," - ")</f>
        <v xml:space="preserve"> - </v>
      </c>
      <c r="BF12" s="668" t="str">
        <f>IF(ISNUMBER(Datos!BX12),Datos!BX12," - ")</f>
        <v xml:space="preserve"> - </v>
      </c>
      <c r="BG12" s="669" t="str">
        <f>IF(ISNUMBER(IF(J_V="SI",Datos!K12/Datos!J12,(Datos!K12+Datos!AA12)/(Datos!J12+Datos!Z12))),IF(J_V="SI",Datos!K12/Datos!J12,(Datos!K12+Datos!AA12)/(Datos!J12+Datos!Z12))," - ")</f>
        <v xml:space="preserve"> - </v>
      </c>
      <c r="BH12" s="670" t="str">
        <f>IF(ISNUMBER(((IF(J_V="SI",Datos!L12/Datos!K12,(Datos!L12+Datos!AB12)/(Datos!K12+Datos!AA12)))*11)/factor_trimestre),((IF(J_V="SI",Datos!L12/Datos!K12,(Datos!L12+Datos!AB12)/(Datos!K12+Datos!AA12)))*11)/factor_trimestre," - ")</f>
        <v xml:space="preserve"> - </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t="str">
        <f>IF(ISNUMBER((Datos!P12-Datos!Q12+Datos!DE12)/(Datos!R12-Datos!P12+Datos!Q12-Datos!DE12)),(Datos!P12-Datos!Q12+Datos!DE12)/(Datos!R12-Datos!P12+Datos!Q12-Datos!DE12)," - ")</f>
        <v xml:space="preserve"> - </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13</v>
      </c>
      <c r="F14" s="1045">
        <f t="shared" si="1"/>
        <v>37</v>
      </c>
      <c r="G14" s="1045">
        <f t="shared" si="1"/>
        <v>37</v>
      </c>
      <c r="H14" s="1046">
        <f t="shared" si="1"/>
        <v>0</v>
      </c>
      <c r="I14" s="1045">
        <f t="shared" si="1"/>
        <v>0</v>
      </c>
      <c r="J14" s="1014">
        <f t="shared" si="1"/>
        <v>0</v>
      </c>
      <c r="K14" s="1014">
        <f t="shared" si="1"/>
        <v>0</v>
      </c>
      <c r="L14" s="1046">
        <f t="shared" si="1"/>
        <v>0</v>
      </c>
      <c r="M14" s="1046">
        <f t="shared" si="1"/>
        <v>0</v>
      </c>
      <c r="N14" s="1046">
        <f t="shared" si="1"/>
        <v>377</v>
      </c>
      <c r="O14" s="1047">
        <f t="shared" si="1"/>
        <v>0</v>
      </c>
      <c r="P14" s="1047">
        <f t="shared" si="1"/>
        <v>0</v>
      </c>
      <c r="Q14" s="1046">
        <f t="shared" si="1"/>
        <v>644</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41</v>
      </c>
      <c r="AC14" s="1046">
        <f t="shared" si="2"/>
        <v>977</v>
      </c>
      <c r="AD14" s="1046">
        <f t="shared" si="2"/>
        <v>0</v>
      </c>
      <c r="AE14" s="1046">
        <f t="shared" si="2"/>
        <v>0</v>
      </c>
      <c r="AF14" s="1046">
        <f t="shared" si="2"/>
        <v>37</v>
      </c>
      <c r="AG14" s="1046">
        <f t="shared" si="2"/>
        <v>0</v>
      </c>
      <c r="AH14" s="1046">
        <f t="shared" si="2"/>
        <v>405</v>
      </c>
      <c r="AI14" s="1046">
        <f t="shared" si="2"/>
        <v>0</v>
      </c>
      <c r="AJ14" s="1046">
        <f t="shared" si="2"/>
        <v>0</v>
      </c>
      <c r="AK14" s="1046">
        <f t="shared" si="2"/>
        <v>0</v>
      </c>
      <c r="AL14" s="1046">
        <f t="shared" si="2"/>
        <v>0</v>
      </c>
      <c r="AM14" s="1046">
        <f t="shared" si="2"/>
        <v>8597</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1290</v>
      </c>
      <c r="BD14" s="1046">
        <f t="shared" si="2"/>
        <v>1106</v>
      </c>
      <c r="BE14" s="1046">
        <f t="shared" si="2"/>
        <v>0</v>
      </c>
      <c r="BF14" s="1046">
        <f t="shared" si="2"/>
        <v>0</v>
      </c>
      <c r="BG14" s="1046">
        <f>IF(ISNUMBER(Datos!K14/Datos!J14),Datos!K14/Datos!J14," - ")</f>
        <v>1.6099942561746123</v>
      </c>
      <c r="BH14" s="1050">
        <f>IF(ISNUMBER(((Datos!L14/Datos!K14)*11)/factor_trimestre),((Datos!L14/Datos!K14)*11)/factor_trimestre," - ")</f>
        <v>10.304673564038531</v>
      </c>
      <c r="BI14" s="1046">
        <f>IF(ISNUMBER('Resol  Asuntos'!D14/NºAsuntos!G14),'Resol  Asuntos'!D14/NºAsuntos!G14," - ")</f>
        <v>0.41425818882466281</v>
      </c>
      <c r="BJ14" s="1046" t="str">
        <f>IF(ISNUMBER(Datos!CI14/Datos!CJ14),Datos!CI14/Datos!CJ14," - ")</f>
        <v xml:space="preserve"> - </v>
      </c>
      <c r="BK14" s="1046">
        <f>SUBTOTAL(9,BK8:BK13)</f>
        <v>0</v>
      </c>
      <c r="BL14" s="1046">
        <f>IF(ISNUMBER((I14-AB14+L14)/(F14)),(I14-AB14+L14)/(F14)," - ")</f>
        <v>-1.1081081081081081</v>
      </c>
      <c r="BM14" s="1051">
        <f>SUBTOTAL(9,BM9:BM13)</f>
        <v>4.6774158928855065E-2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5</v>
      </c>
      <c r="B16" s="647" t="s">
        <v>437</v>
      </c>
      <c r="C16" s="657" t="str">
        <f>Datos!A16</f>
        <v xml:space="preserve">Jdos. Instrucción                               </v>
      </c>
      <c r="D16" s="658"/>
      <c r="E16" s="1334">
        <f>IF(ISNUMBER(Datos!AQ16),Datos!AQ16," - ")</f>
        <v>5</v>
      </c>
      <c r="F16" s="648">
        <f>IF(ISNUMBER(AF16+AB16-Datos!J16-L16),AF16+AB16-Datos!J16-L16," - ")</f>
        <v>1175</v>
      </c>
      <c r="G16" s="651">
        <f>IF(ISNUMBER(IF(D_I="SI",Datos!I16,Datos!I16+Datos!AC16)),IF(D_I="SI",Datos!I16,Datos!I16+Datos!AC16)," - ")</f>
        <v>1305</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296</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f>IF(ISNUMBER(IF(D_I="SI",Datos!K16,Datos!K16+Datos!AE16)),IF(D_I="SI",Datos!K16,Datos!K16+Datos!AE16)," - ")</f>
        <v>2434</v>
      </c>
      <c r="AC16" s="231">
        <f>IF(ISNUMBER(Datos!Q16),Datos!Q16," - ")</f>
        <v>332</v>
      </c>
      <c r="AD16" s="344"/>
      <c r="AE16" s="516"/>
      <c r="AF16" s="649">
        <f>IF(ISNUMBER(IF(D_I="SI",Datos!L16,Datos!L16+Datos!AF16)),IF(D_I="SI",Datos!L16,Datos!L16+Datos!AF16)," - ")</f>
        <v>1328</v>
      </c>
      <c r="AG16" s="344"/>
      <c r="AH16" s="344"/>
      <c r="AI16" s="344"/>
      <c r="AJ16" s="504"/>
      <c r="AK16" s="344"/>
      <c r="AL16" s="500"/>
      <c r="AM16" s="345">
        <f>IF(ISNUMBER(Datos!R16),Datos!R16," - ")</f>
        <v>495</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f>IF(ISNUMBER(Datos!M16),Datos!M16," - ")</f>
        <v>583</v>
      </c>
      <c r="BD16" s="234">
        <f>IF(ISNUMBER(Datos!N16),Datos!N16," - ")</f>
        <v>1285</v>
      </c>
      <c r="BE16" s="234" t="str">
        <f>IF(ISNUMBER(Datos!BW16),Datos!BW16," - ")</f>
        <v xml:space="preserve"> - </v>
      </c>
      <c r="BF16" s="233" t="str">
        <f>IF(ISNUMBER(Datos!BX16),Datos!BX16," - ")</f>
        <v xml:space="preserve"> - </v>
      </c>
      <c r="BG16" s="669">
        <f>IF(ISNUMBER(IF(D_I="SI",Datos!K16/Datos!J16,(Datos!K16+Datos!AE16)/(Datos!J16+Datos!AD16))),IF(D_I="SI",Datos!K16/Datos!J16,(Datos!K16+Datos!AE16)/(Datos!J16+Datos!AD16))," - ")</f>
        <v>0.94085813683803632</v>
      </c>
      <c r="BH16" s="670">
        <f>IF(ISNUMBER(((IF(D_I="SI",Datos!L16/Datos!K16,(Datos!L16+Datos!AF16)/(Datos!K16+Datos!AE16)))*11)/factor_trimestre),((IF(D_I="SI",Datos!L16/Datos!K16,(Datos!L16+Datos!AF16)/(Datos!K16+Datos!AE16)))*11)/factor_trimestre," - ")</f>
        <v>1.6368118323746919</v>
      </c>
      <c r="BI16" s="248">
        <f>IF(ISNUMBER('Resol  Asuntos'!D16/NºAsuntos!G16),'Resol  Asuntos'!D16/NºAsuntos!G16," - ")</f>
        <v>0.23952341824157766</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0</v>
      </c>
      <c r="B17" s="647" t="s">
        <v>437</v>
      </c>
      <c r="C17" s="657" t="str">
        <f>Datos!A17</f>
        <v xml:space="preserve">Jdos. 1ª Instª. e Instr.                        </v>
      </c>
      <c r="D17" s="658"/>
      <c r="E17" s="1334">
        <f>IF(ISNUMBER(Datos!AQ17),Datos!AQ17," - ")</f>
        <v>0</v>
      </c>
      <c r="F17" s="648" t="str">
        <f>IF(ISNUMBER(AF17+AB17-Datos!J17-L17),AF17+AB17-Datos!J17-L17," - ")</f>
        <v xml:space="preserve"> - </v>
      </c>
      <c r="G17" s="651" t="str">
        <f>IF(ISNUMBER(IF(D_I="SI",Datos!I17,Datos!I17+Datos!AC17)),IF(D_I="SI",Datos!I17,Datos!I17+Datos!AC17)," - ")</f>
        <v xml:space="preserve"> - </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0</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t="str">
        <f>IF(ISNUMBER(IF(D_I="SI",Datos!K17,Datos!K17+Datos!AE17)),IF(D_I="SI",Datos!K17,Datos!K17+Datos!AE17)," - ")</f>
        <v xml:space="preserve"> - </v>
      </c>
      <c r="AC17" s="231" t="str">
        <f>IF(ISNUMBER(Datos!Q17),Datos!Q17," - ")</f>
        <v xml:space="preserve"> - </v>
      </c>
      <c r="AD17" s="344"/>
      <c r="AE17" s="516"/>
      <c r="AF17" s="649" t="str">
        <f>IF(ISNUMBER(IF(D_I="SI",Datos!L17,Datos!L17+Datos!AF17)),IF(D_I="SI",Datos!L17,Datos!L17+Datos!AF17)," - ")</f>
        <v xml:space="preserve"> - </v>
      </c>
      <c r="AG17" s="344"/>
      <c r="AH17" s="344"/>
      <c r="AI17" s="344"/>
      <c r="AJ17" s="504"/>
      <c r="AK17" s="344"/>
      <c r="AL17" s="500"/>
      <c r="AM17" s="345" t="str">
        <f>IF(ISNUMBER(Datos!R17),Datos!R17," - ")</f>
        <v xml:space="preserve"> - </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t="str">
        <f>IF(ISNUMBER(Datos!M17),Datos!M17," - ")</f>
        <v xml:space="preserve"> - </v>
      </c>
      <c r="BD17" s="234" t="str">
        <f>IF(ISNUMBER(Datos!N17),Datos!N17," - ")</f>
        <v xml:space="preserve"> - </v>
      </c>
      <c r="BE17" s="234" t="str">
        <f>IF(ISNUMBER(Datos!BW17),Datos!BW17," - ")</f>
        <v xml:space="preserve"> - </v>
      </c>
      <c r="BF17" s="233" t="str">
        <f>IF(ISNUMBER(Datos!BX17),Datos!BX17," - ")</f>
        <v xml:space="preserve"> - </v>
      </c>
      <c r="BG17" s="669" t="str">
        <f>IF(ISNUMBER(IF(D_I="SI",Datos!K17/Datos!J17,(Datos!K17+Datos!AE17)/(Datos!J17+Datos!AD17))),IF(D_I="SI",Datos!K17/Datos!J17,(Datos!K17+Datos!AE17)/(Datos!J17+Datos!AD17))," - ")</f>
        <v xml:space="preserve"> - </v>
      </c>
      <c r="BH17" s="670" t="str">
        <f>IF(ISNUMBER(((IF(D_I="SI",Datos!L17/Datos!K17,(Datos!L17+Datos!AF17)/(Datos!K17+Datos!AE17)))*11)/factor_trimestre),((IF(D_I="SI",Datos!L17/Datos!K17,(Datos!L17+Datos!AF17)/(Datos!K17+Datos!AE17)))*11)/factor_trimestre," - ")</f>
        <v xml:space="preserve"> - </v>
      </c>
      <c r="BI17" s="248" t="str">
        <f>IF(ISNUMBER('Resol  Asuntos'!D17/NºAsuntos!G17),'Resol  Asuntos'!D17/NºAsuntos!G17," - ")</f>
        <v xml:space="preserve"> - </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1</v>
      </c>
      <c r="F18" s="507" t="str">
        <f>IF(ISNUMBER(AF18+AB18-I18-L18),AF18+AB18-I18-L18," - ")</f>
        <v xml:space="preserve"> - </v>
      </c>
      <c r="G18" s="498">
        <f>IF(ISNUMBER(IF(D_I="SI",Datos!I18,Datos!I18+Datos!AC18)),IF(D_I="SI",Datos!I18,Datos!I18+Datos!AC18)," - ")</f>
        <v>70</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7</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432</v>
      </c>
      <c r="AC18" s="502">
        <f>IF(ISNUMBER(Datos!Q18),Datos!Q18," - ")</f>
        <v>4</v>
      </c>
      <c r="AD18" s="504"/>
      <c r="AE18" s="516"/>
      <c r="AF18" s="506">
        <f>IF(ISNUMBER(Datos!L18),Datos!L18,"-")</f>
        <v>53</v>
      </c>
      <c r="AG18" s="504"/>
      <c r="AH18" s="504"/>
      <c r="AI18" s="504"/>
      <c r="AJ18" s="504"/>
      <c r="AK18" s="504"/>
      <c r="AL18" s="505"/>
      <c r="AM18" s="672">
        <f>IF(ISNUMBER(Datos!R18),Datos!R18," - ")</f>
        <v>12</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42</v>
      </c>
      <c r="BD18" s="620">
        <f>IF(ISNUMBER(Datos!N18),Datos!N18," - ")</f>
        <v>212</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1.051094890510949</v>
      </c>
      <c r="BH18" s="670">
        <f>IF(ISNUMBER(((IF(D_I="SI",Datos!L18/Datos!K18,(Datos!L18+Datos!AF18)/(Datos!K18+Datos!AE18)))*11)/factor_trimestre),((IF(D_I="SI",Datos!L18/Datos!K18,(Datos!L18+Datos!AF18)/(Datos!K18+Datos!AE18)))*11)/factor_trimestre," - ")</f>
        <v>0.36805555555555558</v>
      </c>
      <c r="BI18" s="669">
        <f>IF(ISNUMBER('Resol  Asuntos'!D18/NºAsuntos!G18),'Resol  Asuntos'!D18/NºAsuntos!G18," - ")</f>
        <v>9.7222222222222224E-2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6</v>
      </c>
      <c r="F20" s="1045">
        <f>SUBTOTAL(9,F16:F19)</f>
        <v>1175</v>
      </c>
      <c r="G20" s="1045">
        <f>SUBTOTAL(9,G16:G19)</f>
        <v>1375</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303</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2866</v>
      </c>
      <c r="AC20" s="1046">
        <f t="shared" si="5"/>
        <v>336</v>
      </c>
      <c r="AD20" s="1046">
        <f t="shared" si="5"/>
        <v>0</v>
      </c>
      <c r="AE20" s="1046">
        <f t="shared" si="5"/>
        <v>0</v>
      </c>
      <c r="AF20" s="1046">
        <f t="shared" si="5"/>
        <v>1381</v>
      </c>
      <c r="AG20" s="1046">
        <f t="shared" si="5"/>
        <v>0</v>
      </c>
      <c r="AH20" s="1046">
        <f t="shared" si="5"/>
        <v>0</v>
      </c>
      <c r="AI20" s="1046">
        <f t="shared" si="5"/>
        <v>0</v>
      </c>
      <c r="AJ20" s="1046">
        <f t="shared" si="5"/>
        <v>0</v>
      </c>
      <c r="AK20" s="1046">
        <f t="shared" si="5"/>
        <v>0</v>
      </c>
      <c r="AL20" s="1046">
        <f t="shared" si="5"/>
        <v>0</v>
      </c>
      <c r="AM20" s="1046">
        <f t="shared" si="5"/>
        <v>507</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625</v>
      </c>
      <c r="BD20" s="1046">
        <f t="shared" si="5"/>
        <v>1497</v>
      </c>
      <c r="BE20" s="1046">
        <f t="shared" si="5"/>
        <v>0</v>
      </c>
      <c r="BF20" s="1046">
        <f t="shared" si="5"/>
        <v>0</v>
      </c>
      <c r="BG20" s="1046">
        <f>IF(ISNUMBER(Datos!K20/Datos!J20),Datos!K20/Datos!J20," - ")</f>
        <v>0.95597064709806534</v>
      </c>
      <c r="BH20" s="1050">
        <f>IF(ISNUMBER(((Datos!L20/Datos!K20)*11)/factor_trimestre),((Datos!L20/Datos!K20)*11)/factor_trimestre," - ")</f>
        <v>1.4455687369155619</v>
      </c>
      <c r="BI20" s="1046">
        <f>SUBTOTAL(9,BI16:BI19)</f>
        <v>0.3367456404637999</v>
      </c>
      <c r="BJ20" s="1046">
        <f>SUBTOTAL(9,BJ16:BJ19)</f>
        <v>0</v>
      </c>
      <c r="BK20" s="1046">
        <f>SUBTOTAL(9,BK16:BK19)</f>
        <v>0</v>
      </c>
      <c r="BL20" s="1046">
        <f>IF(ISNUMBER((I20-AB20+L20)/(F20)),(I20-AB20+L20)/(F20)," - ")</f>
        <v>-2.4391489361702128</v>
      </c>
      <c r="BM20" s="1052">
        <f>IF(ISNUMBER((Datos!P20-Datos!Q20)/(Datos!R20-Datos!P20+Datos!Q20)),(Datos!P20-Datos!Q20)/(Datos!R20-Datos!P20+Datos!Q20)," - ")</f>
        <v>-6.1111111111111109E-2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19</v>
      </c>
      <c r="F21" s="967">
        <f t="shared" si="7"/>
        <v>1212</v>
      </c>
      <c r="G21" s="967">
        <f t="shared" si="7"/>
        <v>1412</v>
      </c>
      <c r="H21" s="969">
        <f t="shared" si="7"/>
        <v>0</v>
      </c>
      <c r="I21" s="967">
        <f t="shared" si="7"/>
        <v>0</v>
      </c>
      <c r="J21" s="969">
        <f t="shared" si="7"/>
        <v>0</v>
      </c>
      <c r="K21" s="969">
        <f t="shared" si="7"/>
        <v>0</v>
      </c>
      <c r="L21" s="1028">
        <f t="shared" si="7"/>
        <v>0</v>
      </c>
      <c r="M21" s="1028">
        <f t="shared" si="7"/>
        <v>0</v>
      </c>
      <c r="N21" s="1028">
        <f t="shared" si="7"/>
        <v>377</v>
      </c>
      <c r="O21" s="1028">
        <f t="shared" si="7"/>
        <v>0</v>
      </c>
      <c r="P21" s="1028">
        <f t="shared" si="7"/>
        <v>0</v>
      </c>
      <c r="Q21" s="969">
        <f t="shared" si="7"/>
        <v>947</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2907</v>
      </c>
      <c r="AC21" s="968">
        <f t="shared" si="8"/>
        <v>1313</v>
      </c>
      <c r="AD21" s="968">
        <f t="shared" si="8"/>
        <v>0</v>
      </c>
      <c r="AE21" s="968">
        <f t="shared" si="8"/>
        <v>0</v>
      </c>
      <c r="AF21" s="975">
        <f t="shared" si="8"/>
        <v>1418</v>
      </c>
      <c r="AG21" s="975">
        <f t="shared" si="8"/>
        <v>0</v>
      </c>
      <c r="AH21" s="975">
        <f t="shared" si="8"/>
        <v>405</v>
      </c>
      <c r="AI21" s="975">
        <f t="shared" si="8"/>
        <v>0</v>
      </c>
      <c r="AJ21" s="968">
        <f t="shared" si="8"/>
        <v>0</v>
      </c>
      <c r="AK21" s="975">
        <f t="shared" si="8"/>
        <v>0</v>
      </c>
      <c r="AL21" s="975">
        <f t="shared" si="8"/>
        <v>0</v>
      </c>
      <c r="AM21" s="975">
        <f t="shared" si="8"/>
        <v>9104</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1915</v>
      </c>
      <c r="BD21" s="967">
        <f t="shared" si="8"/>
        <v>2603</v>
      </c>
      <c r="BE21" s="967">
        <f t="shared" si="8"/>
        <v>0</v>
      </c>
      <c r="BF21" s="977">
        <f t="shared" si="8"/>
        <v>0</v>
      </c>
      <c r="BG21" s="1062">
        <f>IF(ISNUMBER(Datos!K21/Datos!J21),Datos!K21/Datos!J21," - ")</f>
        <v>1.1962439333192656</v>
      </c>
      <c r="BH21" s="1062">
        <f>IF(ISNUMBER(((Datos!L21/Datos!K21)*11)/factor_trimestre),((Datos!L21/Datos!K21)*11)/factor_trimestre," - ")</f>
        <v>5.8258952196154521</v>
      </c>
      <c r="BI21" s="960">
        <f>IF(ISNUMBER(Datos!J21/Datos!I21),Datos!J21/Datos!I21," - ")</f>
        <v>0.38550394533474336</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-2.3985148514851486</v>
      </c>
      <c r="BM21" s="1036">
        <f>IF(ISNUMBER((Datos!P21-Datos!Q21+R21)/(Datos!R21-Datos!P21+Datos!Q21-R21)),(Datos!P21-Datos!Q21+R21)/(Datos!R21-Datos!P21+Datos!Q21-R21)," - ")</f>
        <v>-3.8648363252375924E-2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564.79999999999995</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4.5246797978119151</v>
      </c>
      <c r="F23" s="600">
        <f>IF(ISNUMBER(STDEV(F8:F20)),STDEV(F8:F20),"-")</f>
        <v>657.02460633779413</v>
      </c>
      <c r="G23" s="601">
        <f>IF(ISNUMBER(STDEV(G8:G20)),STDEV(G8:G20),"-")</f>
        <v>708.21832791872873</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1375.4798071945659</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529.50650879582474</v>
      </c>
      <c r="BD23" s="600"/>
      <c r="BE23" s="600">
        <f>IF(ISNUMBER(STDEV(BE8:BE20)),STDEV(BE8:BE20),"-")</f>
        <v>0</v>
      </c>
      <c r="BF23" s="605">
        <f>IF(ISNUMBER(STDEV(BF8:BF20)),STDEV(BF8:BF20),"-")</f>
        <v>0</v>
      </c>
      <c r="BG23" s="915">
        <f>IF(ISNUMBER(STDEV(BG8:BG20)),STDEV(BG8:BG20),"-")</f>
        <v>0.34820202575135739</v>
      </c>
      <c r="BH23" s="919">
        <f>IF(ISNUMBER(STDEV(BH8:BH20)),STDEV(BH8:BH20),"-")</f>
        <v>4.2689141220962066</v>
      </c>
      <c r="BI23" s="254">
        <f>IF(ISNUMBER(STDEV(BI8:BI20)),STDEV(BI8:BI20),"-")</f>
        <v>0.13666427785274837</v>
      </c>
      <c r="BJ23" s="235" t="str">
        <f>IF(ISNUMBER(BL23/BM23),BL23/BM23," - ")</f>
        <v xml:space="preserve"> - </v>
      </c>
      <c r="BK23" s="627"/>
      <c r="BL23" s="608">
        <f>IF(ISNUMBER(STDEV(BL8:BL20)),STDEV(BL8:BL20),"-")</f>
        <v>0.94118799555887189</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ts1UlNKpNc94DYr6xKGDAlpirvQ6n4H6r3mMbyXnK2tw/Vu5j/57TBR9yZCBMgjFUNdIw24ii7YmFAzjpSv7FA==" saltValue="Z62hPuWxMrCKA+c0YqXJU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CANTABRIA</v>
      </c>
    </row>
    <row r="2" spans="1:73" ht="16.5" customHeight="1">
      <c r="C2" s="575" t="str">
        <f>Criterios!A10 &amp;"  "&amp;Criterios!B10 &amp; "  " &amp; IF(NOT(ISBLANK(Criterios!A11)),Criterios!A11 &amp;"  "&amp;Criterios!B11,"")</f>
        <v>Provincias  CANTABRIA  Resumenes por Partidos Judiciales  SANTANDER</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10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567</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f>IF(ISNUMBER(Datos!Q9),Datos!Q9," - ")</f>
        <v>898</v>
      </c>
      <c r="AA9" s="506" t="str">
        <f>IF(ISNUMBER(IF(J_V="SI",Datos!L9,Datos!L9+Datos!AB9)-IF(Monitorios="SI",Datos!CD9,0)),
                          IF(J_V="SI",Datos!L9,Datos!L9+Datos!AB9)-IF(Monitorios="SI",Datos!CD9,0),
                          " - ")</f>
        <v xml:space="preserve"> - </v>
      </c>
      <c r="AB9" s="504"/>
      <c r="AC9" s="504"/>
      <c r="AD9" s="517"/>
      <c r="AE9" s="517">
        <f>IF(ISNUMBER(Datos!R9),Datos!R9," - ")</f>
        <v>7814</v>
      </c>
      <c r="AF9" s="620" t="str">
        <f>IF(ISNUMBER(Datos!BV9),Datos!BV9," - ")</f>
        <v xml:space="preserve"> - </v>
      </c>
      <c r="AG9" s="507" t="str">
        <f>IF(ISNUMBER(Datos!DV9),Datos!DV9," - ")</f>
        <v xml:space="preserve"> - </v>
      </c>
      <c r="AH9" s="508"/>
      <c r="AI9" s="509"/>
      <c r="AJ9" s="507">
        <f>IF(ISNUMBER(Datos!M9),Datos!M9," - ")</f>
        <v>1171</v>
      </c>
      <c r="AK9" s="620">
        <f>IF(ISNUMBER(Datos!N9),Datos!N9," - ")</f>
        <v>787</v>
      </c>
      <c r="AL9" s="620" t="str">
        <f>IF(ISNUMBER(Datos!BW9),Datos!BW9," - ")</f>
        <v xml:space="preserve"> - </v>
      </c>
      <c r="AM9" s="668" t="str">
        <f>IF(ISNUMBER(Datos!BX9),Datos!BX9," - ")</f>
        <v xml:space="preserve"> - </v>
      </c>
      <c r="AN9" s="669"/>
      <c r="AO9" s="670">
        <f>IF(ISNUMBER(((NºAsuntos!I9/NºAsuntos!G9)*11)/factor_trimestre),((NºAsuntos!I9/NºAsuntos!G9)*11)/factor_trimestre," - ")</f>
        <v>10.422704378148005</v>
      </c>
      <c r="AP9" s="510" t="str">
        <f>IF(ISNUMBER(Datos!CI9/Datos!CJ9),Datos!CI9/Datos!CJ9," - ")</f>
        <v xml:space="preserve"> - </v>
      </c>
      <c r="AQ9" s="510" t="str">
        <f>IF(ISNUMBER((J9-Y9+K9)/(F9)),(J9-Y9+K9)/(F9)," - ")</f>
        <v xml:space="preserve"> - </v>
      </c>
      <c r="AR9" s="510">
        <f>IF(ISNUMBER((Datos!P9-Datos!Q9+Datos!DE9)/(Datos!R9-Datos!P9+Datos!Q9-Datos!DE9)),(Datos!P9-Datos!Q9+Datos!DE9)/(Datos!R9-Datos!P9+Datos!Q9-Datos!DE9)," - ")</f>
        <v>-4.063842848373235E-2</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1</v>
      </c>
      <c r="F10" s="507">
        <f>IF(ISNUMBER(Datos!L10+Datos!K10-Datos!J10),Datos!L10+Datos!K10-Datos!J10," - ")</f>
        <v>37</v>
      </c>
      <c r="G10" s="507">
        <f>IF(ISNUMBER(Datos!I10),Datos!I10," - ")</f>
        <v>37</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11</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41</v>
      </c>
      <c r="Z10" s="704">
        <f>IF(ISNUMBER(Datos!Q10),Datos!Q10," - ")</f>
        <v>4</v>
      </c>
      <c r="AA10" s="506">
        <f>IF(ISNUMBER(Datos!L10),Datos!L10,"-")</f>
        <v>37</v>
      </c>
      <c r="AB10" s="504"/>
      <c r="AC10" s="504"/>
      <c r="AD10" s="517"/>
      <c r="AE10" s="517">
        <f>IF(ISNUMBER(Datos!R10),Datos!R10," - ")</f>
        <v>77</v>
      </c>
      <c r="AF10" s="620" t="str">
        <f>IF(ISNUMBER(Datos!BV10),Datos!BV10," - ")</f>
        <v xml:space="preserve"> - </v>
      </c>
      <c r="AG10" s="507" t="str">
        <f>IF(ISNUMBER(Datos!DV10),Datos!DV10," - ")</f>
        <v xml:space="preserve"> - </v>
      </c>
      <c r="AH10" s="508"/>
      <c r="AI10" s="509"/>
      <c r="AJ10" s="507">
        <f>IF(ISNUMBER(Datos!M10),Datos!M10," - ")</f>
        <v>20</v>
      </c>
      <c r="AK10" s="620">
        <f>IF(ISNUMBER(Datos!N10),Datos!N10," - ")</f>
        <v>7</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2.7073170731707319</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0.1</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2</v>
      </c>
      <c r="B11" s="654" t="s">
        <v>273</v>
      </c>
      <c r="C11" s="655" t="str">
        <f>Datos!A11</f>
        <v xml:space="preserve">Jdos. Familia                                   </v>
      </c>
      <c r="D11" s="549"/>
      <c r="E11" s="1337">
        <f>IF(ISNUMBER(Datos!AQ11),Datos!AQ11," - ")</f>
        <v>2</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66</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f>IF(ISNUMBER(Datos!Q11),Datos!Q11," - ")</f>
        <v>75</v>
      </c>
      <c r="AA11" s="506" t="str">
        <f>IF(ISNUMBER(IF(J_V="SI",Datos!L11,Datos!L11+Datos!AB11)-IF(Monitorios="SI",Datos!CD11,0)),
                          IF(J_V="SI",Datos!L11,Datos!L11+Datos!AB11)-IF(Monitorios="SI",Datos!CD11,0),
                          " - ")</f>
        <v xml:space="preserve"> - </v>
      </c>
      <c r="AB11" s="504"/>
      <c r="AC11" s="504"/>
      <c r="AD11" s="517"/>
      <c r="AE11" s="517">
        <f>IF(ISNUMBER(Datos!R11),Datos!R11," - ")</f>
        <v>706</v>
      </c>
      <c r="AF11" s="620" t="str">
        <f>IF(ISNUMBER(Datos!BV11),Datos!BV11," - ")</f>
        <v xml:space="preserve"> - </v>
      </c>
      <c r="AG11" s="507" t="str">
        <f>IF(ISNUMBER(Datos!DV11),Datos!DV11," - ")</f>
        <v xml:space="preserve"> - </v>
      </c>
      <c r="AH11" s="508"/>
      <c r="AI11" s="509"/>
      <c r="AJ11" s="507">
        <f>IF(ISNUMBER(Datos!M11),Datos!M11," - ")</f>
        <v>99</v>
      </c>
      <c r="AK11" s="620">
        <f>IF(ISNUMBER(Datos!N11),Datos!N11," - ")</f>
        <v>312</v>
      </c>
      <c r="AL11" s="620" t="str">
        <f>IF(ISNUMBER(Datos!BW11),Datos!BW11," - ")</f>
        <v xml:space="preserve"> - </v>
      </c>
      <c r="AM11" s="668" t="str">
        <f>IF(ISNUMBER(Datos!BX11),Datos!BX11," - ")</f>
        <v xml:space="preserve"> - </v>
      </c>
      <c r="AN11" s="669"/>
      <c r="AO11" s="670">
        <f>IF(ISNUMBER(((NºAsuntos!I11/NºAsuntos!G11)*11)/factor_trimestre),((NºAsuntos!I11/NºAsuntos!G11)*11)/factor_trimestre," - ")</f>
        <v>6.274390243902439</v>
      </c>
      <c r="AP11" s="510" t="str">
        <f>IF(ISNUMBER(Datos!CI11/Datos!CJ11),Datos!CI11/Datos!CJ11," - ")</f>
        <v xml:space="preserve"> - </v>
      </c>
      <c r="AQ11" s="510" t="str">
        <f>IF(ISNUMBER((J11-Y11+K11)/(F11)),(J11-Y11+K11)/(F11)," - ")</f>
        <v xml:space="preserve"> - </v>
      </c>
      <c r="AR11" s="510">
        <f>IF(ISNUMBER((Datos!P11-Datos!Q11+Datos!DE11)/(Datos!R11-Datos!P11+Datos!Q11-Datos!DE11)),(Datos!P11-Datos!Q11+Datos!DE11)/(Datos!R11-Datos!P11+Datos!Q11-Datos!DE11)," - ")</f>
        <v>-1.2587412587412588E-2</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0</v>
      </c>
      <c r="B12" s="654" t="s">
        <v>273</v>
      </c>
      <c r="C12" s="655" t="str">
        <f>Datos!A12</f>
        <v xml:space="preserve">Jdos. 1ª Instª. e Instr.                        </v>
      </c>
      <c r="D12" s="549"/>
      <c r="E12" s="1337">
        <f>IF(ISNUMBER(Datos!AQ12),Datos!AQ12," - ")</f>
        <v>0</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0</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t="str">
        <f>IF(ISNUMBER(Datos!Q12),Datos!Q12," - ")</f>
        <v xml:space="preserve"> - </v>
      </c>
      <c r="AA12" s="506" t="str">
        <f>IF(ISNUMBER(IF(J_V="SI",Datos!L12,Datos!L12+Datos!AB12)-IF(Monitorios="SI",Datos!CD12,0)),
                          IF(J_V="SI",Datos!L12,Datos!L12+Datos!AB12)-IF(Monitorios="SI",Datos!CD12,0),
                          " - ")</f>
        <v xml:space="preserve"> - </v>
      </c>
      <c r="AB12" s="504"/>
      <c r="AC12" s="504"/>
      <c r="AD12" s="517"/>
      <c r="AE12" s="517" t="str">
        <f>IF(ISNUMBER(Datos!R12),Datos!R12," - ")</f>
        <v xml:space="preserve"> - </v>
      </c>
      <c r="AF12" s="620" t="str">
        <f>IF(ISNUMBER(Datos!BV12),Datos!BV12," - ")</f>
        <v xml:space="preserve"> - </v>
      </c>
      <c r="AG12" s="507" t="str">
        <f>IF(ISNUMBER(Datos!DV12),Datos!DV12," - ")</f>
        <v xml:space="preserve"> - </v>
      </c>
      <c r="AH12" s="508"/>
      <c r="AI12" s="509"/>
      <c r="AJ12" s="507" t="str">
        <f>IF(ISNUMBER(Datos!M12),Datos!M12," - ")</f>
        <v xml:space="preserve"> - </v>
      </c>
      <c r="AK12" s="620" t="str">
        <f>IF(ISNUMBER(Datos!N12),Datos!N12," - ")</f>
        <v xml:space="preserve"> - </v>
      </c>
      <c r="AL12" s="620" t="str">
        <f>IF(ISNUMBER(Datos!BW12),Datos!BW12," - ")</f>
        <v xml:space="preserve"> - </v>
      </c>
      <c r="AM12" s="668" t="str">
        <f>IF(ISNUMBER(Datos!BX12),Datos!BX12," - ")</f>
        <v xml:space="preserve"> - </v>
      </c>
      <c r="AN12" s="669"/>
      <c r="AO12" s="670" t="str">
        <f>IF(ISNUMBER(((NºAsuntos!I12/NºAsuntos!G12)*11)/factor_trimestre),((NºAsuntos!I12/NºAsuntos!G12)*11)/factor_trimestre," - ")</f>
        <v xml:space="preserve"> - </v>
      </c>
      <c r="AP12" s="510" t="str">
        <f>IF(ISNUMBER(Datos!CI12/Datos!CJ12),Datos!CI12/Datos!CJ12," - ")</f>
        <v xml:space="preserve"> - </v>
      </c>
      <c r="AQ12" s="510" t="str">
        <f>IF(ISNUMBER((J12-Y12+K12)/(F12)),(J12-Y12+K12)/(F12)," - ")</f>
        <v xml:space="preserve"> - </v>
      </c>
      <c r="AR12" s="510" t="str">
        <f>IF(ISNUMBER((Datos!P12-Datos!Q12+Datos!DE12)/(Datos!R12-Datos!P12+Datos!Q12-Datos!DE12)),(Datos!P12-Datos!Q12+Datos!DE12)/(Datos!R12-Datos!P12+Datos!Q12-Datos!DE12)," - ")</f>
        <v xml:space="preserve"> - </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13</v>
      </c>
      <c r="F14" s="1045">
        <f>SUBTOTAL(9,F8:F13)</f>
        <v>37</v>
      </c>
      <c r="G14" s="1045">
        <f>SUBTOTAL(9,G8:G13)</f>
        <v>37</v>
      </c>
      <c r="H14" s="1055"/>
      <c r="I14" s="1045">
        <f t="shared" ref="I14:N14" si="1">SUBTOTAL(9,I8:I13)</f>
        <v>0</v>
      </c>
      <c r="J14" s="1014">
        <f t="shared" si="1"/>
        <v>0</v>
      </c>
      <c r="K14" s="1055">
        <f t="shared" si="1"/>
        <v>0</v>
      </c>
      <c r="L14" s="1055">
        <f t="shared" si="1"/>
        <v>0</v>
      </c>
      <c r="M14" s="1055">
        <f t="shared" si="1"/>
        <v>0</v>
      </c>
      <c r="N14" s="1055">
        <f t="shared" si="1"/>
        <v>644</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41</v>
      </c>
      <c r="Z14" s="1054">
        <f t="shared" si="3"/>
        <v>977</v>
      </c>
      <c r="AA14" s="1047">
        <f t="shared" si="3"/>
        <v>37</v>
      </c>
      <c r="AB14" s="1047">
        <f t="shared" si="3"/>
        <v>0</v>
      </c>
      <c r="AC14" s="1047">
        <f t="shared" si="3"/>
        <v>0</v>
      </c>
      <c r="AD14" s="1047">
        <f t="shared" si="3"/>
        <v>0</v>
      </c>
      <c r="AE14" s="1047">
        <f t="shared" si="3"/>
        <v>8597</v>
      </c>
      <c r="AF14" s="1055">
        <f t="shared" si="3"/>
        <v>0</v>
      </c>
      <c r="AG14" s="1055">
        <f t="shared" si="3"/>
        <v>0</v>
      </c>
      <c r="AH14" s="1055">
        <f t="shared" si="3"/>
        <v>0</v>
      </c>
      <c r="AI14" s="1055">
        <f t="shared" si="3"/>
        <v>0</v>
      </c>
      <c r="AJ14" s="1055">
        <f t="shared" si="3"/>
        <v>1290</v>
      </c>
      <c r="AK14" s="1055">
        <f t="shared" si="3"/>
        <v>1106</v>
      </c>
      <c r="AL14" s="1055">
        <f t="shared" si="3"/>
        <v>0</v>
      </c>
      <c r="AM14" s="1055">
        <f t="shared" si="3"/>
        <v>0</v>
      </c>
      <c r="AN14" s="1055">
        <f t="shared" si="3"/>
        <v>0</v>
      </c>
      <c r="AO14" s="1051">
        <f>IF(ISNUMBER(((NºAsuntos!I14/NºAsuntos!G14)*11)/factor_trimestre),((NºAsuntos!I14/NºAsuntos!G14)*11)/factor_trimestre," - ")</f>
        <v>9.6657032755298662</v>
      </c>
      <c r="AP14" s="1057" t="str">
        <f>IF(ISNUMBER(Datos!CI14/Datos!CJ14),Datos!CI14/Datos!CJ14," - ")</f>
        <v xml:space="preserve"> - </v>
      </c>
      <c r="AQ14" s="1075">
        <f t="shared" ref="AQ14:AV14" si="4">SUBTOTAL(9,AQ9:AQ13)</f>
        <v>0</v>
      </c>
      <c r="AR14" s="1075">
        <f t="shared" si="4"/>
        <v>4.6774158928855065E-2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5</v>
      </c>
      <c r="B16" s="654" t="s">
        <v>437</v>
      </c>
      <c r="C16" s="671" t="str">
        <f>Datos!A16</f>
        <v xml:space="preserve">Jdos. Instrucción                               </v>
      </c>
      <c r="D16" s="544"/>
      <c r="E16" s="1337">
        <f>IF(ISNUMBER(Datos!AQ16),Datos!AQ16," - ")</f>
        <v>5</v>
      </c>
      <c r="F16" s="498">
        <f>IF(ISNUMBER(AA16+Y16-Datos!J16-K16),AA16+Y16-Datos!J16-K16," - ")</f>
        <v>1175</v>
      </c>
      <c r="G16" s="507">
        <f>IF(ISNUMBER(IF(D_I="SI",Datos!I16,Datos!I16+Datos!AC16)),IF(D_I="SI",Datos!I16,Datos!I16+Datos!AC16)," - ")</f>
        <v>1305</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296</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f>IF(ISNUMBER(IF(D_I="SI",Datos!K16,Datos!K16+Datos!AE16)),IF(D_I="SI",Datos!K16,Datos!K16+Datos!AE16)," - ")</f>
        <v>2434</v>
      </c>
      <c r="Z16" s="704">
        <f>IF(ISNUMBER(Datos!Q16),Datos!Q16," - ")</f>
        <v>332</v>
      </c>
      <c r="AA16" s="506">
        <f>IF(ISNUMBER(IF(D_I="SI",Datos!L16,Datos!L16+Datos!AF16)),IF(D_I="SI",Datos!L16,Datos!L16+Datos!AF16)," - ")</f>
        <v>1328</v>
      </c>
      <c r="AB16" s="504"/>
      <c r="AC16" s="504"/>
      <c r="AD16" s="517"/>
      <c r="AE16" s="517">
        <f>IF(ISNUMBER(Datos!R16),Datos!R16," - ")</f>
        <v>495</v>
      </c>
      <c r="AF16" s="620" t="str">
        <f>IF(ISNUMBER(Datos!BV16),Datos!BV16," - ")</f>
        <v xml:space="preserve"> - </v>
      </c>
      <c r="AG16" s="507"/>
      <c r="AH16" s="508"/>
      <c r="AI16" s="509"/>
      <c r="AJ16" s="507">
        <f>IF(ISNUMBER(Datos!M16),Datos!M16," - ")</f>
        <v>583</v>
      </c>
      <c r="AK16" s="620">
        <f>IF(ISNUMBER(Datos!N16),Datos!N16," - ")</f>
        <v>1285</v>
      </c>
      <c r="AL16" s="620" t="str">
        <f>IF(ISNUMBER(Datos!BW16),Datos!BW16," - ")</f>
        <v xml:space="preserve"> - </v>
      </c>
      <c r="AM16" s="668" t="str">
        <f>IF(ISNUMBER(Datos!BX16),Datos!BX16," - ")</f>
        <v xml:space="preserve"> - </v>
      </c>
      <c r="AN16" s="669"/>
      <c r="AO16" s="670">
        <f>IF(ISNUMBER(((NºAsuntos!I16/NºAsuntos!G16)*11)/factor_trimestre),((NºAsuntos!I16/NºAsuntos!G16)*11)/factor_trimestre," - ")</f>
        <v>1.6368118323746919</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0</v>
      </c>
      <c r="B17" s="654" t="s">
        <v>437</v>
      </c>
      <c r="C17" s="671" t="str">
        <f>Datos!A17</f>
        <v xml:space="preserve">Jdos. 1ª Instª. e Instr.                        </v>
      </c>
      <c r="D17" s="544"/>
      <c r="E17" s="1337">
        <f>IF(ISNUMBER(Datos!AQ17),Datos!AQ17," - ")</f>
        <v>0</v>
      </c>
      <c r="F17" s="498" t="str">
        <f>IF(ISNUMBER(AA17+Y17-Datos!J17-K16),AA17+Y17-Datos!J17-K16," - ")</f>
        <v xml:space="preserve"> - </v>
      </c>
      <c r="G17" s="507" t="str">
        <f>IF(ISNUMBER(IF(D_I="SI",Datos!I17,Datos!I17+Datos!AC17)),IF(D_I="SI",Datos!I17,Datos!I17+Datos!AC17)," - ")</f>
        <v xml:space="preserve"> - </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0</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t="str">
        <f>IF(ISNUMBER(IF(D_I="SI",Datos!K17,Datos!K17+Datos!AE17)),IF(D_I="SI",Datos!K17,Datos!K17+Datos!AE17)," - ")</f>
        <v xml:space="preserve"> - </v>
      </c>
      <c r="Z17" s="704" t="str">
        <f>IF(ISNUMBER(Datos!Q17),Datos!Q17," - ")</f>
        <v xml:space="preserve"> - </v>
      </c>
      <c r="AA17" s="506" t="str">
        <f>IF(ISNUMBER(IF(D_I="SI",Datos!L17,Datos!L17+Datos!AF17)),IF(D_I="SI",Datos!L17,Datos!L17+Datos!AF17)," - ")</f>
        <v xml:space="preserve"> - </v>
      </c>
      <c r="AB17" s="504"/>
      <c r="AC17" s="504"/>
      <c r="AD17" s="517"/>
      <c r="AE17" s="517" t="str">
        <f>IF(ISNUMBER(Datos!R17),Datos!R17," - ")</f>
        <v xml:space="preserve"> - </v>
      </c>
      <c r="AF17" s="620" t="str">
        <f>IF(ISNUMBER(Datos!BV17),Datos!BV17," - ")</f>
        <v xml:space="preserve"> - </v>
      </c>
      <c r="AG17" s="507"/>
      <c r="AH17" s="508"/>
      <c r="AI17" s="509"/>
      <c r="AJ17" s="507" t="str">
        <f>IF(ISNUMBER(Datos!M17),Datos!M17," - ")</f>
        <v xml:space="preserve"> - </v>
      </c>
      <c r="AK17" s="620" t="str">
        <f>IF(ISNUMBER(Datos!N17),Datos!N17," - ")</f>
        <v xml:space="preserve"> - </v>
      </c>
      <c r="AL17" s="620" t="str">
        <f>IF(ISNUMBER(Datos!BW17),Datos!BW17," - ")</f>
        <v xml:space="preserve"> - </v>
      </c>
      <c r="AM17" s="668" t="str">
        <f>IF(ISNUMBER(Datos!BX17),Datos!BX17," - ")</f>
        <v xml:space="preserve"> - </v>
      </c>
      <c r="AN17" s="669"/>
      <c r="AO17" s="670" t="str">
        <f>IF(ISNUMBER(((NºAsuntos!I17/NºAsuntos!G17)*11)/factor_trimestre),((NºAsuntos!I17/NºAsuntos!G17)*11)/factor_trimestre," - ")</f>
        <v xml:space="preserve"> - </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1</v>
      </c>
      <c r="F18" s="507" t="str">
        <f>IF(ISNUMBER(AA18+Y18-I18-K18),AA18+Y18-I18-K18," - ")</f>
        <v xml:space="preserve"> - </v>
      </c>
      <c r="G18" s="741">
        <f>IF(ISNUMBER(IF(D_I="SI",Datos!I18,Datos!I18+Datos!AC18)),IF(D_I="SI",Datos!I18,Datos!I18+Datos!AC18)," - ")</f>
        <v>70</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7</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432</v>
      </c>
      <c r="Z18" s="704">
        <f>IF(ISNUMBER(Datos!Q18),Datos!Q18," - ")</f>
        <v>4</v>
      </c>
      <c r="AA18" s="506">
        <f>IF(ISNUMBER(Datos!L18),Datos!L18,"-")</f>
        <v>53</v>
      </c>
      <c r="AB18" s="504"/>
      <c r="AC18" s="504"/>
      <c r="AD18" s="517"/>
      <c r="AE18" s="517">
        <f>IF(ISNUMBER(Datos!R18),Datos!R18," - ")</f>
        <v>12</v>
      </c>
      <c r="AF18" s="620" t="str">
        <f>IF(ISNUMBER(Datos!BV18),Datos!BV18," - ")</f>
        <v xml:space="preserve"> - </v>
      </c>
      <c r="AG18" s="507" t="str">
        <f>IF(ISNUMBER(Datos!DV18),Datos!DV18," - ")</f>
        <v xml:space="preserve"> - </v>
      </c>
      <c r="AH18" s="508"/>
      <c r="AI18" s="509"/>
      <c r="AJ18" s="507">
        <f>IF(ISNUMBER(Datos!M18),Datos!M18," - ")</f>
        <v>42</v>
      </c>
      <c r="AK18" s="620">
        <f>IF(ISNUMBER(Datos!N18),Datos!N18," - ")</f>
        <v>212</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0.36805555555555558</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6</v>
      </c>
      <c r="F20" s="1045">
        <f>SUBTOTAL(9,F16:F19)</f>
        <v>1175</v>
      </c>
      <c r="G20" s="1045">
        <f>SUBTOTAL(9,G16:G19)</f>
        <v>1375</v>
      </c>
      <c r="H20" s="1079">
        <f>SUBTOTAL(9,H16:H19)</f>
        <v>0</v>
      </c>
      <c r="I20" s="1058">
        <f>SUBTOTAL(9,I16:I19)</f>
        <v>0</v>
      </c>
      <c r="J20" s="1014">
        <f>SUBTOTAL(9,J15:J19)</f>
        <v>0</v>
      </c>
      <c r="K20" s="1079">
        <f t="shared" ref="K20:S20" si="5">SUBTOTAL(9,K16:K19)</f>
        <v>0</v>
      </c>
      <c r="L20" s="1079">
        <f t="shared" si="5"/>
        <v>0</v>
      </c>
      <c r="M20" s="1079">
        <f t="shared" si="5"/>
        <v>0</v>
      </c>
      <c r="N20" s="1079">
        <f t="shared" si="5"/>
        <v>303</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2866</v>
      </c>
      <c r="Z20" s="1079">
        <f t="shared" si="6"/>
        <v>336</v>
      </c>
      <c r="AA20" s="1079">
        <f t="shared" si="6"/>
        <v>1381</v>
      </c>
      <c r="AB20" s="1079">
        <f t="shared" si="6"/>
        <v>0</v>
      </c>
      <c r="AC20" s="1079">
        <f t="shared" si="6"/>
        <v>0</v>
      </c>
      <c r="AD20" s="1079">
        <f t="shared" si="6"/>
        <v>0</v>
      </c>
      <c r="AE20" s="1079">
        <f t="shared" si="6"/>
        <v>507</v>
      </c>
      <c r="AF20" s="1079">
        <f t="shared" si="6"/>
        <v>0</v>
      </c>
      <c r="AG20" s="1079">
        <f t="shared" si="6"/>
        <v>0</v>
      </c>
      <c r="AH20" s="1079">
        <f t="shared" si="6"/>
        <v>0</v>
      </c>
      <c r="AI20" s="1079">
        <f t="shared" si="6"/>
        <v>0</v>
      </c>
      <c r="AJ20" s="1079">
        <f t="shared" si="6"/>
        <v>625</v>
      </c>
      <c r="AK20" s="1079">
        <f t="shared" si="6"/>
        <v>1497</v>
      </c>
      <c r="AL20" s="1079">
        <f t="shared" si="6"/>
        <v>0</v>
      </c>
      <c r="AM20" s="1079">
        <f t="shared" si="6"/>
        <v>0</v>
      </c>
      <c r="AN20" s="1079">
        <f t="shared" si="6"/>
        <v>0</v>
      </c>
      <c r="AO20" s="1081">
        <f>IF(ISNUMBER(((NºAsuntos!I20/NºAsuntos!G20)*11)/factor_trimestre),((NºAsuntos!I20/NºAsuntos!G20)*11)/factor_trimestre," - ")</f>
        <v>1.4455687369155619</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19</v>
      </c>
      <c r="F21" s="967">
        <f t="shared" si="8"/>
        <v>1212</v>
      </c>
      <c r="G21" s="967">
        <f t="shared" si="8"/>
        <v>1412</v>
      </c>
      <c r="H21" s="968">
        <f t="shared" si="8"/>
        <v>0</v>
      </c>
      <c r="I21" s="967">
        <f t="shared" si="8"/>
        <v>0</v>
      </c>
      <c r="J21" s="969">
        <f t="shared" si="8"/>
        <v>0</v>
      </c>
      <c r="K21" s="967">
        <f t="shared" si="8"/>
        <v>0</v>
      </c>
      <c r="L21" s="970">
        <f t="shared" si="8"/>
        <v>0</v>
      </c>
      <c r="M21" s="967">
        <f t="shared" si="8"/>
        <v>0</v>
      </c>
      <c r="N21" s="968">
        <f t="shared" si="8"/>
        <v>947</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2907</v>
      </c>
      <c r="Z21" s="974">
        <f t="shared" si="9"/>
        <v>1313</v>
      </c>
      <c r="AA21" s="975">
        <f t="shared" si="9"/>
        <v>1418</v>
      </c>
      <c r="AB21" s="975">
        <f t="shared" si="9"/>
        <v>0</v>
      </c>
      <c r="AC21" s="975">
        <f t="shared" si="9"/>
        <v>0</v>
      </c>
      <c r="AD21" s="976">
        <f t="shared" si="9"/>
        <v>0</v>
      </c>
      <c r="AE21" s="976">
        <f t="shared" si="9"/>
        <v>9104</v>
      </c>
      <c r="AF21" s="977">
        <f t="shared" si="9"/>
        <v>0</v>
      </c>
      <c r="AG21" s="978">
        <f t="shared" si="9"/>
        <v>0</v>
      </c>
      <c r="AH21" s="979">
        <f t="shared" si="9"/>
        <v>0</v>
      </c>
      <c r="AI21" s="977">
        <f t="shared" si="9"/>
        <v>0</v>
      </c>
      <c r="AJ21" s="967">
        <f t="shared" si="9"/>
        <v>1915</v>
      </c>
      <c r="AK21" s="967">
        <f t="shared" si="9"/>
        <v>2603</v>
      </c>
      <c r="AL21" s="967">
        <f t="shared" si="9"/>
        <v>0</v>
      </c>
      <c r="AM21" s="980">
        <f t="shared" si="9"/>
        <v>0</v>
      </c>
      <c r="AN21" s="970">
        <f>IF(ISNUMBER(Datos!K21/Datos!J21),Datos!K21/Datos!J21," - ")</f>
        <v>1.1962439333192656</v>
      </c>
      <c r="AO21" s="970">
        <f>IF(ISNUMBER(FIND("06",Criterios!A8,1)),(IF(ISNUMBER(((Datos!R21/Datos!Q21)*11)/factor_trimestre),((Datos!R21/Datos!Q21)*11)/factor_trimestre," - ")),(IF(ISNUMBER(((Datos!L21/Datos!K21)*11)/factor_trimestre),((Datos!L21/Datos!K21)*11)/factor_trimestre," - ")))</f>
        <v>5.8258952196154521</v>
      </c>
      <c r="AP21" s="981" t="str">
        <f>IF(ISNUMBER(Datos!CI21/Datos!CJ21),Datos!CI21/Datos!CJ21," - ")</f>
        <v xml:space="preserve"> - </v>
      </c>
      <c r="AQ21" s="981">
        <f>IF(OR(ISNUMBER(FIND("01",Criterios!A8,1)),ISNUMBER(FIND("02",Criterios!A8,1)),ISNUMBER(FIND("03",Criterios!A8,1)),ISNUMBER(FIND("04",Criterios!A8,1))),(J21-Y21+K21)/(F21-K21),(I21-Y21+K21)/(F21-K21))</f>
        <v>-2.3985148514851486</v>
      </c>
      <c r="AR21" s="981">
        <f>IF(ISNUMBER((Datos!P21-Datos!Q21+O21)/(Datos!R21-Datos!P21+Datos!Q21-O21)),(Datos!P21-Datos!Q21+O21)/(Datos!R21-Datos!P21+Datos!Q21-O21)," - ")</f>
        <v>-3.8648363252375924E-2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564.79999999999995</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657.02460633779413</v>
      </c>
      <c r="G23" s="601">
        <f>IF(ISNUMBER(STDEV(G8:G20)),STDEV(G8:G20),"-")</f>
        <v>708.21832791872873</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529.50650879582474</v>
      </c>
      <c r="AK23" s="257"/>
      <c r="AL23" s="257">
        <f>IF(ISNUMBER(STDEV(AL8:AL20)),STDEV(AL8:AL20),"-")</f>
        <v>0</v>
      </c>
      <c r="AM23" s="259">
        <f>IF(ISNUMBER(STDEV(AM8:AM20)),STDEV(AM8:AM20),"-")</f>
        <v>0</v>
      </c>
      <c r="AN23" s="587">
        <f>IF(ISNUMBER(STDEV(AN8:AN20)),STDEV(AN8:AN20),"-")</f>
        <v>0</v>
      </c>
      <c r="AO23" s="588">
        <f>IF(ISNUMBER(STDEV(AO8:AO20)),STDEV(AO8:AO20),"-")</f>
        <v>4.1347443047071559</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CJOOpNiWJTSiV+zhwizcslg9u+K/am4cWRfMGR2d16KHoZbgfcIVWI2aja46LdkIrqpveqo155L9OTrvzeozkw==" saltValue="Uw76oyoVMq9r4/EshtEHf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KBrqRhZkViQm+sa6yFEUBacqwD+ICcjWOxsh/UG+pi/fYuliFLaUWupSwjEAQvAEPTFcfLU8NO8Vh0n6lGLyHA==" saltValue="YUVxdz39q3ed2wAiBeV5T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yY6LMIPPX3JXkxIIWbNPDTqlmrkveTjptXN5VqSuYMkalcL2Lengcl6gw1xhxET7yGbqy5BZ5RcTfnIIW0lQkA==" saltValue="rg6FgX2Jq4hm6Bhn/2Zk5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CANTABRIA</v>
      </c>
      <c r="F1" s="753"/>
    </row>
    <row r="2" spans="1:75" ht="16.5" customHeight="1">
      <c r="C2" s="521" t="str">
        <f>Criterios!A10 &amp;"  "&amp;Criterios!B10 &amp; "  " &amp; IF(NOT(ISBLANK(Criterios!A11)),Criterios!A11 &amp;"  "&amp;Criterios!B11,"")</f>
        <v>Provincias  CANTABRIA  Resumenes por Partidos Judiciales  SANTANDER</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0.41425818882466281</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0.29292477447997634</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0jFxZxQ4ukolCUUbaKy/c0rbvW+faLEJX53THY0ppuL9m8JILVbWROrvVVlWSEKK3OCcIxbXIt2P0ADH6OZy1g==" saltValue="YbTxY02SLqPN3U+6BK2Tv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WiHBebtO78C51gCj2DvdvwWOAumG0QjOx1NpUCWbblonUTLQkRza78lygYEKzBJX8KnAnDqqeX98MEPP2RQ+rA==" saltValue="mMuvJKyNi9Q//auUTsoKI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CANTABRIA</v>
      </c>
      <c r="C2" s="400"/>
      <c r="D2" s="400"/>
      <c r="E2" s="400"/>
      <c r="F2" s="400"/>
    </row>
    <row r="3" spans="1:14" ht="19.5">
      <c r="A3" s="402" t="s">
        <v>128</v>
      </c>
      <c r="B3" s="403" t="str">
        <f>Criterios!A10 &amp;"  "&amp;Criterios!B10</f>
        <v>Provincias  CANTABRIA</v>
      </c>
      <c r="D3" s="400"/>
      <c r="E3" s="400"/>
      <c r="F3" s="400"/>
    </row>
    <row r="4" spans="1:14" ht="13.5" thickBot="1">
      <c r="A4" s="400"/>
      <c r="B4" s="403" t="str">
        <f>Criterios!A11 &amp;"  "&amp;Criterios!B11</f>
        <v>Resumenes por Partidos Judiciales  SANTANDER</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10</v>
      </c>
      <c r="C9" s="415">
        <f>IF(ISNUMBER(IF(J_V="SI",Datos!I9,Datos!I9+Datos!Y9)),IF(J_V="SI",Datos!I9,Datos!I9+Datos!Y9)," - ")</f>
        <v>10042</v>
      </c>
      <c r="D9" s="416">
        <f>IF(ISNUMBER(C9/Datos!BH9),C9/Datos!BH9," - ")</f>
        <v>1004.2</v>
      </c>
      <c r="E9" s="415">
        <f>IF(ISNUMBER(IF(J_V="SI",Datos!J9,Datos!J9+Datos!Z9)),IF(J_V="SI",Datos!J9,Datos!J9+Datos!Z9)," - ")</f>
        <v>1505</v>
      </c>
      <c r="F9" s="416">
        <f>IF(ISNUMBER(E9/B9),E9/B9," - ")</f>
        <v>150.5</v>
      </c>
      <c r="G9" s="415">
        <f>IF(ISNUMBER(IF(J_V="SI",Datos!K9,Datos!K9+Datos!AA9)),IF(J_V="SI",Datos!K9,Datos!K9+Datos!AA9)," - ")</f>
        <v>2581</v>
      </c>
      <c r="H9" s="416">
        <f>IF(ISNUMBER(G9/B9),G9/B9," - ")</f>
        <v>258.10000000000002</v>
      </c>
      <c r="I9" s="415">
        <f>IF(ISNUMBER(IF(J_V="SI",Datos!L9,Datos!L9+Datos!AB9)),IF(J_V="SI",Datos!L9,Datos!L9+Datos!AB9)," - ")</f>
        <v>8967</v>
      </c>
      <c r="J9" s="416">
        <f>IF(ISNUMBER(I9/B9),I9/B9," - ")</f>
        <v>896.7</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37</v>
      </c>
      <c r="D10" s="416">
        <f>IF(ISNUMBER(C10/Datos!BH10),C10/Datos!BH10," - ")</f>
        <v>37</v>
      </c>
      <c r="E10" s="415">
        <f>IF(ISNUMBER(Datos!J10),Datos!J10," - ")</f>
        <v>41</v>
      </c>
      <c r="F10" s="416">
        <f>IF(ISNUMBER(E10/B10),E10/B10," - ")</f>
        <v>41</v>
      </c>
      <c r="G10" s="415">
        <f>IF(ISNUMBER(Datos!K10),Datos!K10," - ")</f>
        <v>41</v>
      </c>
      <c r="H10" s="416">
        <f>IF(ISNUMBER(G10/B10),G10/B10," - ")</f>
        <v>41</v>
      </c>
      <c r="I10" s="415">
        <f>IF(ISNUMBER(Datos!L10),Datos!L10," - ")</f>
        <v>37</v>
      </c>
      <c r="J10" s="416">
        <f>IF(ISNUMBER(I10/B10),I10/B10," - ")</f>
        <v>37</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2</v>
      </c>
      <c r="C11" s="415">
        <f>IF(ISNUMBER(IF(J_V="SI",Datos!I11,Datos!I11+Datos!Y11)),IF(J_V="SI",Datos!I11,Datos!I11+Datos!Y11)," - ")</f>
        <v>1178</v>
      </c>
      <c r="D11" s="416">
        <f>IF(ISNUMBER(C11/Datos!BH11),C11/Datos!BH11," - ")</f>
        <v>589</v>
      </c>
      <c r="E11" s="415">
        <f>IF(ISNUMBER(IF(J_V="SI",Datos!J11,Datos!J11+Datos!Z11)),IF(J_V="SI",Datos!J11,Datos!J11+Datos!Z11)," - ")</f>
        <v>572</v>
      </c>
      <c r="F11" s="416">
        <f>IF(ISNUMBER(E11/B11),E11/B11," - ")</f>
        <v>286</v>
      </c>
      <c r="G11" s="415">
        <f>IF(ISNUMBER(IF(J_V="SI",Datos!K11,Datos!K11+Datos!AA11)),IF(J_V="SI",Datos!K11,Datos!K11+Datos!AA11)," - ")</f>
        <v>492</v>
      </c>
      <c r="H11" s="416">
        <f>IF(ISNUMBER(G11/B11),G11/B11," - ")</f>
        <v>246</v>
      </c>
      <c r="I11" s="415">
        <f>IF(ISNUMBER(IF(J_V="SI",Datos!L11,Datos!L11+Datos!AB11)),IF(J_V="SI",Datos!L11,Datos!L11+Datos!AB11)," - ")</f>
        <v>1029</v>
      </c>
      <c r="J11" s="416">
        <f>IF(ISNUMBER(I11/B11),I11/B11," - ")</f>
        <v>514.5</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0</v>
      </c>
      <c r="C12" s="415" t="str">
        <f>IF(ISNUMBER(IF(J_V="SI",Datos!I12,Datos!I12+Datos!Y12)),IF(J_V="SI",Datos!I12,Datos!I12+Datos!Y12)," - ")</f>
        <v xml:space="preserve"> - </v>
      </c>
      <c r="D12" s="416" t="str">
        <f>IF(ISNUMBER(C12/Datos!BH12),C12/Datos!BH12," - ")</f>
        <v xml:space="preserve"> - </v>
      </c>
      <c r="E12" s="415" t="str">
        <f>IF(ISNUMBER(IF(J_V="SI",Datos!J12,Datos!J12+Datos!Z12)),IF(J_V="SI",Datos!J12,Datos!J12+Datos!Z12)," - ")</f>
        <v xml:space="preserve"> - </v>
      </c>
      <c r="F12" s="416" t="str">
        <f>IF(ISNUMBER(E12/B12),E12/B12," - ")</f>
        <v xml:space="preserve"> - </v>
      </c>
      <c r="G12" s="415" t="str">
        <f>IF(ISNUMBER(IF(J_V="SI",Datos!K12,Datos!K12+Datos!AA12)),IF(J_V="SI",Datos!K12,Datos!K12+Datos!AA12)," - ")</f>
        <v xml:space="preserve"> - </v>
      </c>
      <c r="H12" s="416" t="str">
        <f>IF(ISNUMBER(G12/B12),G12/B12," - ")</f>
        <v xml:space="preserve"> - </v>
      </c>
      <c r="I12" s="415" t="str">
        <f>IF(ISNUMBER(IF(J_V="SI",Datos!L12,Datos!L12+Datos!AB12)),IF(J_V="SI",Datos!L12,Datos!L12+Datos!AB12)," - ")</f>
        <v xml:space="preserve"> - </v>
      </c>
      <c r="J12" s="416" t="str">
        <f>IF(ISNUMBER(I12/B12),I12/B12," - ")</f>
        <v xml:space="preserve"> - </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13</v>
      </c>
      <c r="C14" s="996">
        <f>SUBTOTAL(9,C8:C13)</f>
        <v>11257</v>
      </c>
      <c r="D14" s="997" t="str">
        <f>IF(ISNUMBER(C14/Datos!BI14),C14/Datos!BI14," - ")</f>
        <v xml:space="preserve"> - </v>
      </c>
      <c r="E14" s="996">
        <f>SUBTOTAL(9,E8:E13)</f>
        <v>2118</v>
      </c>
      <c r="F14" s="997">
        <f>IF(ISNUMBER(E14/B14),E14/B14," - ")</f>
        <v>162.92307692307693</v>
      </c>
      <c r="G14" s="996">
        <f>SUBTOTAL(9,G8:G13)</f>
        <v>3114</v>
      </c>
      <c r="H14" s="997">
        <f>IF(ISNUMBER(G14/B14),G14/B14," - ")</f>
        <v>239.53846153846155</v>
      </c>
      <c r="I14" s="996">
        <f>SUBTOTAL(9,I8:I13)</f>
        <v>10033</v>
      </c>
      <c r="J14" s="997">
        <f>IF(ISNUMBER(I14/B14),I14/B14," - ")</f>
        <v>771.76923076923072</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5</v>
      </c>
      <c r="C16" s="415">
        <f>IF(ISNUMBER(IF(D_I="SI",Datos!I16,Datos!I16+Datos!AC16)),IF(D_I="SI",Datos!I16,Datos!I16+Datos!AC16)," - ")</f>
        <v>1305</v>
      </c>
      <c r="D16" s="416">
        <f>IF(ISNUMBER(C16/Datos!BH16),C16/Datos!BH16," - ")</f>
        <v>261</v>
      </c>
      <c r="E16" s="415">
        <f>IF(ISNUMBER(IF(D_I="SI",Datos!J16,Datos!J16+Datos!AD16)),IF(D_I="SI",Datos!J16,Datos!J16+Datos!AD16)," - ")</f>
        <v>2587</v>
      </c>
      <c r="F16" s="416">
        <f>IF(ISNUMBER(E16/B16),E16/B16," - ")</f>
        <v>517.4</v>
      </c>
      <c r="G16" s="415">
        <f>IF(ISNUMBER(IF(D_I="SI",Datos!K16,Datos!K16+Datos!AE16)),IF(D_I="SI",Datos!K16,Datos!K16+Datos!AE16)," - ")</f>
        <v>2434</v>
      </c>
      <c r="H16" s="416">
        <f>IF(ISNUMBER(G16/B16),G16/B16," - ")</f>
        <v>486.8</v>
      </c>
      <c r="I16" s="415">
        <f>IF(ISNUMBER(IF(D_I="SI",Datos!L16,Datos!L16+Datos!AF16)),IF(D_I="SI",Datos!L16,Datos!L16+Datos!AF16)," - ")</f>
        <v>1328</v>
      </c>
      <c r="J16" s="416">
        <f>IF(ISNUMBER(I16/B16),I16/B16," - ")</f>
        <v>265.60000000000002</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0</v>
      </c>
      <c r="C17" s="415" t="str">
        <f>IF(ISNUMBER(IF(D_I="SI",Datos!I17,Datos!I17+Datos!AC17)),IF(D_I="SI",Datos!I17,Datos!I17+Datos!AC17)," - ")</f>
        <v xml:space="preserve"> - </v>
      </c>
      <c r="D17" s="416" t="str">
        <f>IF(ISNUMBER(C17/Datos!BH17),C17/Datos!BH17," - ")</f>
        <v xml:space="preserve"> - </v>
      </c>
      <c r="E17" s="415" t="str">
        <f>IF(ISNUMBER(IF(D_I="SI",Datos!J17,Datos!J17+Datos!AD17)),IF(D_I="SI",Datos!J17,Datos!J17+Datos!AD17)," - ")</f>
        <v xml:space="preserve"> - </v>
      </c>
      <c r="F17" s="416" t="str">
        <f>IF(ISNUMBER(E17/B17),E17/B17," - ")</f>
        <v xml:space="preserve"> - </v>
      </c>
      <c r="G17" s="415" t="str">
        <f>IF(ISNUMBER(IF(D_I="SI",Datos!K17,Datos!K17+Datos!AE17)),IF(D_I="SI",Datos!K17,Datos!K17+Datos!AE17)," - ")</f>
        <v xml:space="preserve"> - </v>
      </c>
      <c r="H17" s="416" t="str">
        <f>IF(ISNUMBER(G17/B17),G17/B17," - ")</f>
        <v xml:space="preserve"> - </v>
      </c>
      <c r="I17" s="415" t="str">
        <f>IF(ISNUMBER(IF(D_I="SI",Datos!L17,Datos!L17+Datos!AF17)),IF(D_I="SI",Datos!L17,Datos!L17+Datos!AF17)," - ")</f>
        <v xml:space="preserve"> - </v>
      </c>
      <c r="J17" s="416" t="str">
        <f>IF(ISNUMBER(I17/B17),I17/B17," - ")</f>
        <v xml:space="preserve"> - </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70</v>
      </c>
      <c r="D18" s="416">
        <f>IF(ISNUMBER(C18/Datos!BH18),C18/Datos!BH18," - ")</f>
        <v>70</v>
      </c>
      <c r="E18" s="415">
        <f>IF(ISNUMBER(IF(D_I="SI",Datos!J18,Datos!J18+Datos!AD18)),IF(D_I="SI",Datos!J18,Datos!J18+Datos!AD18)," - ")</f>
        <v>411</v>
      </c>
      <c r="F18" s="416">
        <f>IF(ISNUMBER(E18/B18),E18/B18," - ")</f>
        <v>411</v>
      </c>
      <c r="G18" s="415">
        <f>IF(ISNUMBER(IF(D_I="SI",Datos!K18,Datos!K18+Datos!AE18)),IF(D_I="SI",Datos!K18,Datos!K18+Datos!AE18)," - ")</f>
        <v>432</v>
      </c>
      <c r="H18" s="416">
        <f>IF(ISNUMBER(G18/B18),G18/B18," - ")</f>
        <v>432</v>
      </c>
      <c r="I18" s="415">
        <f>IF(ISNUMBER(IF(D_I="SI",Datos!L18,Datos!L18+Datos!AF18)),IF(D_I="SI",Datos!L18,Datos!L18+Datos!AF18)," - ")</f>
        <v>53</v>
      </c>
      <c r="J18" s="416">
        <f>IF(ISNUMBER(I18/B18),I18/B18," - ")</f>
        <v>53</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6</v>
      </c>
      <c r="C20" s="996">
        <f>SUBTOTAL(9,C15:C19)</f>
        <v>1375</v>
      </c>
      <c r="D20" s="997" t="str">
        <f>IF(ISNUMBER(C20/Datos!BI20),C20/Datos!BI20," - ")</f>
        <v xml:space="preserve"> - </v>
      </c>
      <c r="E20" s="996">
        <f>SUBTOTAL(9,E15:E19)</f>
        <v>2998</v>
      </c>
      <c r="F20" s="997">
        <f>IF(ISNUMBER(E20/B20),E20/B20," - ")</f>
        <v>499.66666666666669</v>
      </c>
      <c r="G20" s="996">
        <f>SUBTOTAL(9,G15:G19)</f>
        <v>2866</v>
      </c>
      <c r="H20" s="997">
        <f>IF(ISNUMBER(G20/B20),G20/B20," - ")</f>
        <v>477.66666666666669</v>
      </c>
      <c r="I20" s="996">
        <f>SUBTOTAL(9,I15:I19)</f>
        <v>1381</v>
      </c>
      <c r="J20" s="997">
        <f>IF(ISNUMBER(I20/B20),I20/B20," - ")</f>
        <v>230.16666666666666</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18</v>
      </c>
      <c r="C21" s="941">
        <f>SUBTOTAL(9,C9:C20)</f>
        <v>12632</v>
      </c>
      <c r="D21" s="942" t="str">
        <f>IF(ISNUMBER(C21/Datos!BI21),C21/Datos!BI21," - ")</f>
        <v xml:space="preserve"> - </v>
      </c>
      <c r="E21" s="941">
        <f>SUBTOTAL(9,E9:E20)</f>
        <v>5116</v>
      </c>
      <c r="F21" s="942">
        <f>IF(ISNUMBER(E21/B21),E21/B21," - ")</f>
        <v>284.22222222222223</v>
      </c>
      <c r="G21" s="941">
        <f>SUBTOTAL(9,G9:G20)</f>
        <v>5980</v>
      </c>
      <c r="H21" s="942">
        <f>IF(ISNUMBER(G21/B21),G21/B21," - ")</f>
        <v>332.22222222222223</v>
      </c>
      <c r="I21" s="941">
        <f>SUBTOTAL(9,I9:I20)</f>
        <v>11414</v>
      </c>
      <c r="J21" s="942">
        <f>IF(ISNUMBER(I21/B21),I21/B21," - ")</f>
        <v>634.11111111111109</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LOTNX4mnl1jqrZjcrABBftDoJSleom8JXOO6dtlTDPaseKDEiW0GpMjmy3Hmz81eTbvm29DG8gw8XpKHUtccsA==" saltValue="O+viyVqXx+d8rNhR1xp1eQ=="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CANTABRIA</v>
      </c>
      <c r="F1" s="753"/>
      <c r="W1"/>
      <c r="X1"/>
      <c r="BE1" s="753"/>
    </row>
    <row r="2" spans="1:65" ht="16.5" customHeight="1">
      <c r="C2" s="521" t="str">
        <f>Criterios!A10 &amp;"  "&amp;Criterios!B10 &amp; "  " &amp; IF(NOT(ISBLANK(Criterios!A11)),Criterios!A11 &amp;"  "&amp;Criterios!B11,"")</f>
        <v>Provincias  CANTABRIA  Resumenes por Partidos Judiciales  SANTANDER</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10</v>
      </c>
      <c r="B9" s="653" t="s">
        <v>273</v>
      </c>
      <c r="C9" s="671" t="str">
        <f>Datos!A9</f>
        <v xml:space="preserve">Jdos. 1ª Instancia   </v>
      </c>
      <c r="D9" s="544"/>
      <c r="E9" s="801">
        <f>IF(ISNUMBER(Datos!AQ9),Datos!AQ9," - ")</f>
        <v>10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1</v>
      </c>
      <c r="F10" s="802">
        <f>IF(ISNUMBER(Datos!L10+Datos!K10-Datos!J10),Datos!L10+Datos!K10-Datos!J10," - ")</f>
        <v>37</v>
      </c>
      <c r="G10" s="803">
        <f>IF(ISNUMBER(Datos!I10),Datos!I10," - ")</f>
        <v>37</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11</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f>IF(ISNUMBER(DatosP!AS18/E10),DatosP!AS18/E10," - ")</f>
        <v>0</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41</v>
      </c>
      <c r="AC10" s="802" t="str">
        <f>IF(ISNUMBER(IF(D_I="SI",DatosP!K18,DatosP!K18+DatosP!AE18)),IF(D_I="SI",DatosP!K18,DatosP!K18+DatosP!AE18)," - ")</f>
        <v xml:space="preserve"> - </v>
      </c>
      <c r="AD10" s="804"/>
      <c r="AE10" s="804"/>
      <c r="AF10" s="807">
        <f>IF(ISNUMBER(Datos!L10),Datos!L10,"-")</f>
        <v>37</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20</v>
      </c>
      <c r="AM10" s="811">
        <f>IF(ISNUMBER(Datos!N10+DatosP!N18),Datos!N10+DatosP!N18," - ")</f>
        <v>7</v>
      </c>
      <c r="AN10" s="811">
        <f>IF(ISNUMBER(Datos!BW10+DatosP!BW18),Datos!BW10+DatosP!BW18," - ")</f>
        <v>0</v>
      </c>
      <c r="AO10" s="812">
        <f>IF(ISNUMBER(Datos!BX10+DatosP!BX18),Datos!BX10+DatosP!BX18," - ")</f>
        <v>0</v>
      </c>
      <c r="AP10" s="814">
        <f>IF(ISNUMBER(((Datos!L10/Datos!K10)*11)/factor_trimestre),((Datos!L10/Datos!K10)*11)/factor_trimestre," - ")</f>
        <v>2.7073170731707319</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2</v>
      </c>
      <c r="B11" s="654" t="s">
        <v>273</v>
      </c>
      <c r="C11" s="655" t="str">
        <f>Datos!A11</f>
        <v xml:space="preserve">Jdos. Familia                                   </v>
      </c>
      <c r="D11" s="549"/>
      <c r="E11" s="801">
        <f>IF(ISNUMBER(Datos!AQ11),Datos!AQ11," - ")</f>
        <v>2</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0</v>
      </c>
      <c r="B12" s="654" t="s">
        <v>273</v>
      </c>
      <c r="C12" s="655" t="str">
        <f>Datos!A12</f>
        <v xml:space="preserve">Jdos. 1ª Instª. e Instr.                        </v>
      </c>
      <c r="D12" s="549"/>
      <c r="E12" s="801">
        <f>IF(ISNUMBER(Datos!AQ12),Datos!AQ12," - ")</f>
        <v>0</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0</v>
      </c>
      <c r="O12" s="804">
        <f>IF(ISNUMBER(DatosP!P17),DatosP!P17,0)</f>
        <v>0</v>
      </c>
      <c r="P12" s="804" t="str">
        <f>IF(ISNUMBER(DatosP!DE17),DatosP!DE17," - ")</f>
        <v xml:space="preserve"> - </v>
      </c>
      <c r="Q12" s="805"/>
      <c r="R12" s="805"/>
      <c r="S12" s="804" t="str">
        <f>IF(ISNUMBER(Datos!AS12*(2500/380)+DatosP!AS17),Datos!AS12*(2500/380)+DatosP!AS17," - ")</f>
        <v xml:space="preserve"> - </v>
      </c>
      <c r="T12" s="804" t="str">
        <f>IF(ISNUMBER(DatosP!AS17/E12),DatosP!AS17/E12," - ")</f>
        <v xml:space="preserve"> - </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t="str">
        <f>IF(ISNUMBER(Datos!Q12),Datos!Q12," - ")</f>
        <v xml:space="preserve"> - </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t="str">
        <f>IF(ISNUMBER(Datos!R12),Datos!R12," - ")</f>
        <v xml:space="preserve"> - </v>
      </c>
      <c r="AI12" s="808" t="str">
        <f>IF(ISNUMBER(DatosP!R17),DatosP!R17," - ")</f>
        <v xml:space="preserve"> - </v>
      </c>
      <c r="AJ12" s="801">
        <f>IF(ISNUMBER(Datos!BV12+DatosP!BV17),Datos!BV12+DatosP!BV17," - ")</f>
        <v>0</v>
      </c>
      <c r="AK12" s="809" t="str">
        <f>IF(ISNUMBER(Datos!DV12),Datos!DV12," - ")</f>
        <v xml:space="preserve"> - </v>
      </c>
      <c r="AL12" s="802" t="str">
        <f>IF(ISNUMBER(Datos!M12+DatosP!M17),Datos!M12+DatosP!M17," - ")</f>
        <v xml:space="preserve"> - </v>
      </c>
      <c r="AM12" s="811" t="str">
        <f>IF(ISNUMBER(Datos!N12+DatosP!N17),Datos!N12+DatosP!N17," - ")</f>
        <v xml:space="preserve"> - </v>
      </c>
      <c r="AN12" s="811">
        <f>IF(ISNUMBER(Datos!BW12+DatosP!BW17),Datos!BW12+DatosP!BW17," - ")</f>
        <v>0</v>
      </c>
      <c r="AO12" s="812">
        <f>IF(ISNUMBER(Datos!BX12+DatosP!BX17),Datos!BX12+DatosP!BX17," - ")</f>
        <v>0</v>
      </c>
      <c r="AP12" s="814" t="str">
        <f>IF(ISNUMBER(((IF(J_V="SI",Datos!L12/Datos!K12,(Datos!L12+Datos!AB12)/(Datos!K12+Datos!AA12)))*11)/factor_trimestre),((IF(J_V="SI",Datos!L12/Datos!K12,(Datos!L12+Datos!AB12)/(Datos!K12+Datos!AA12)))*11)/factor_trimestre," - ")</f>
        <v xml:space="preserve"> - </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t="str">
        <f>IF(ISNUMBER((Datos!P12-Datos!Q12+Datos!DE12)/(Datos!R12-Datos!P12+Datos!Q12-Datos!DE12)),(Datos!P12-Datos!Q12+Datos!DE12)/(Datos!R12-Datos!P12+Datos!Q12-Datos!DE12)," - ")</f>
        <v xml:space="preserve"> - </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13</v>
      </c>
      <c r="F14" s="1085">
        <f t="shared" si="0"/>
        <v>37</v>
      </c>
      <c r="G14" s="1085">
        <f t="shared" si="0"/>
        <v>37</v>
      </c>
      <c r="H14" s="1085">
        <f t="shared" si="0"/>
        <v>0</v>
      </c>
      <c r="I14" s="1087">
        <f t="shared" si="0"/>
        <v>0</v>
      </c>
      <c r="J14" s="1086">
        <f t="shared" si="0"/>
        <v>0</v>
      </c>
      <c r="K14" s="1086">
        <f t="shared" si="0"/>
        <v>0</v>
      </c>
      <c r="L14" s="1088">
        <f t="shared" si="0"/>
        <v>0</v>
      </c>
      <c r="M14" s="1088">
        <f t="shared" si="0"/>
        <v>0</v>
      </c>
      <c r="N14" s="1086">
        <f t="shared" si="0"/>
        <v>11</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41</v>
      </c>
      <c r="AC14" s="1086">
        <f t="shared" si="1"/>
        <v>0</v>
      </c>
      <c r="AD14" s="1086">
        <f t="shared" si="1"/>
        <v>0</v>
      </c>
      <c r="AE14" s="1086">
        <f t="shared" si="1"/>
        <v>0</v>
      </c>
      <c r="AF14" s="1086">
        <f t="shared" si="1"/>
        <v>37</v>
      </c>
      <c r="AG14" s="1086">
        <f t="shared" si="1"/>
        <v>0</v>
      </c>
      <c r="AH14" s="1086">
        <f t="shared" si="1"/>
        <v>0</v>
      </c>
      <c r="AI14" s="1086">
        <f t="shared" si="1"/>
        <v>0</v>
      </c>
      <c r="AJ14" s="1086">
        <f t="shared" si="1"/>
        <v>0</v>
      </c>
      <c r="AK14" s="1086">
        <f t="shared" si="1"/>
        <v>0</v>
      </c>
      <c r="AL14" s="1086">
        <f t="shared" si="1"/>
        <v>20</v>
      </c>
      <c r="AM14" s="1086">
        <f t="shared" si="1"/>
        <v>7</v>
      </c>
      <c r="AN14" s="1086">
        <f t="shared" si="1"/>
        <v>0</v>
      </c>
      <c r="AO14" s="1086">
        <f t="shared" si="1"/>
        <v>0</v>
      </c>
      <c r="AP14" s="1091">
        <f>IF(ISNUMBER(((Datos!L14/Datos!K14)*11)/factor_trimestre),((Datos!L14/Datos!K14)*11)/factor_trimestre," - ")</f>
        <v>10.304673564038531</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-1.1081081081081081</v>
      </c>
      <c r="AU14" s="1086" t="str">
        <f>IF(ISNUMBER((DatosP!#REF!-DatosP!#REF!+DatosP!#REF!)/(DatosP!#REF!+DatosP!#REF!-DatosP!#REF!-DatosP!#REF!)),(DatosP!#REF!-DatosP!#REF!+DatosP!#REF!)/(DatosP!#REF!+DatosP!#REF!-DatosP!#REF!-DatosP!#REF!)," - ")</f>
        <v xml:space="preserve"> - </v>
      </c>
      <c r="AV14" s="1092">
        <f>SUBTOTAL(9,AV9:AV13)</f>
        <v>0</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5</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0</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1.4455687369155619</v>
      </c>
      <c r="AQ20" s="1091">
        <f>IF(ISNUMBER(((Datos!M20/Datos!L20)*11)/factor_trimestre),((Datos!M20/Datos!L20)*11)/factor_trimestre," - ")</f>
        <v>1.3577118030412745</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-6.1111111111111109E-2</v>
      </c>
      <c r="AW20" s="1093">
        <f>IF(ISNUMBER((Datos!Q20-Datos!R20)/(Datos!S20-Datos!Q20+Datos!R20)),(Datos!Q20-Datos!R20)/(Datos!S20-Datos!Q20+Datos!R20)," - ")</f>
        <v>-0.12162162162162163</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13</v>
      </c>
      <c r="F21" s="1098">
        <f t="shared" si="4"/>
        <v>37</v>
      </c>
      <c r="G21" s="1098">
        <f t="shared" si="4"/>
        <v>37</v>
      </c>
      <c r="H21" s="1098">
        <f t="shared" si="4"/>
        <v>0</v>
      </c>
      <c r="I21" s="1099">
        <f t="shared" si="4"/>
        <v>0</v>
      </c>
      <c r="J21" s="1100">
        <f t="shared" si="4"/>
        <v>0</v>
      </c>
      <c r="K21" s="1100">
        <f t="shared" si="4"/>
        <v>0</v>
      </c>
      <c r="L21" s="1100">
        <f t="shared" si="4"/>
        <v>0</v>
      </c>
      <c r="M21" s="1100">
        <f t="shared" si="4"/>
        <v>0</v>
      </c>
      <c r="N21" s="1099">
        <f t="shared" si="4"/>
        <v>11</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41</v>
      </c>
      <c r="AC21" s="1104">
        <f t="shared" si="5"/>
        <v>0</v>
      </c>
      <c r="AD21" s="1104">
        <f t="shared" si="5"/>
        <v>0</v>
      </c>
      <c r="AE21" s="1104">
        <f t="shared" si="5"/>
        <v>0</v>
      </c>
      <c r="AF21" s="1105">
        <f t="shared" si="5"/>
        <v>37</v>
      </c>
      <c r="AG21" s="1105">
        <f t="shared" si="5"/>
        <v>0</v>
      </c>
      <c r="AH21" s="1105">
        <f t="shared" si="5"/>
        <v>0</v>
      </c>
      <c r="AI21" s="1105">
        <f t="shared" si="5"/>
        <v>0</v>
      </c>
      <c r="AJ21" s="1106">
        <f t="shared" si="5"/>
        <v>0</v>
      </c>
      <c r="AK21" s="1106">
        <f t="shared" si="5"/>
        <v>0</v>
      </c>
      <c r="AL21" s="1098">
        <f t="shared" si="5"/>
        <v>20</v>
      </c>
      <c r="AM21" s="1098">
        <f t="shared" si="5"/>
        <v>7</v>
      </c>
      <c r="AN21" s="1098">
        <f t="shared" si="5"/>
        <v>0</v>
      </c>
      <c r="AO21" s="1098">
        <f t="shared" si="5"/>
        <v>0</v>
      </c>
      <c r="AP21" s="1098">
        <f>IF(ISNUMBER(((Datos!L21/Datos!K21)*11)/factor_trimestre),((Datos!L21/Datos!K21)*11)/factor_trimestre," - ")</f>
        <v>5.8258952196154521</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-1.1081081081081081</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-3.8648363252375924E-2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24.666666666666668</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5.4379618030497943</v>
      </c>
      <c r="F23" s="870">
        <f>IF(ISNUMBER(STDEV(F8:F20)),STDEV(F8:F20),"-")</f>
        <v>21.361959960016154</v>
      </c>
      <c r="G23" s="871">
        <f>IF(ISNUMBER(STDEV(G8:G20)),STDEV(G8:G20),"-")</f>
        <v>21.361959960016154</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23.671361036774655</v>
      </c>
      <c r="AC23" s="872">
        <f>IF(ISNUMBER(STDEV(AC8:AC20)),STDEV(AC8:AC20),"-")</f>
        <v>0</v>
      </c>
      <c r="AD23" s="875"/>
      <c r="AE23" s="875"/>
      <c r="AF23" s="875"/>
      <c r="AG23" s="875"/>
      <c r="AH23" s="875"/>
      <c r="AI23" s="875"/>
      <c r="AJ23" s="876">
        <f>IF(ISNUMBER(STDEV(AJ8:AJ20)),STDEV(AJ8:AJ20),"-")</f>
        <v>0</v>
      </c>
      <c r="AK23" s="878"/>
      <c r="AL23" s="870">
        <f>IF(ISNUMBER(STDEV(AL8:AL20)),STDEV(AL8:AL20),"-")</f>
        <v>11.547005383792515</v>
      </c>
      <c r="AM23" s="870"/>
      <c r="AN23" s="870">
        <f>IF(ISNUMBER(STDEV(AN8:AN20)),STDEV(AN8:AN20),"-")</f>
        <v>0</v>
      </c>
      <c r="AO23" s="876">
        <f>IF(ISNUMBER(STDEV(AO8:AO20)),STDEV(AO8:AO20),"-")</f>
        <v>0</v>
      </c>
      <c r="AP23" s="923">
        <f>IF(ISNUMBER(STDEV(AP8:AP20)),STDEV(AP8:AP20),"-")</f>
        <v>4.7922780395710092</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7XEyG8hdS0bT4HShQ5Z0Yl5F+srkh2UI6PlNQWmBjiL81GfHSBojP1WUObT+kOKcNHKvV+0fy8mTijDe22WYQ==" saltValue="A/342vZPbxgxjJy4DhDxD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CANTABRIA</v>
      </c>
      <c r="C2" s="400"/>
      <c r="E2" s="400"/>
      <c r="F2" s="400"/>
      <c r="G2" s="400"/>
      <c r="H2" s="400"/>
    </row>
    <row r="3" spans="1:15" ht="39">
      <c r="A3" s="427" t="s">
        <v>241</v>
      </c>
      <c r="B3" s="403" t="str">
        <f>Criterios!A10 &amp;"  "&amp;Criterios!B10</f>
        <v>Provincias  CANTABRIA</v>
      </c>
      <c r="C3" s="427"/>
      <c r="F3" s="400"/>
      <c r="G3" s="400"/>
      <c r="H3" s="400"/>
    </row>
    <row r="4" spans="1:15" ht="13.5" thickBot="1">
      <c r="A4" s="400"/>
      <c r="B4" s="403" t="str">
        <f>Criterios!A11 &amp;"  "&amp;Criterios!B11</f>
        <v>Resumenes por Partidos Judiciales  SANTANDER</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10</v>
      </c>
      <c r="D9" s="415">
        <f>Datos!BK9</f>
        <v>0</v>
      </c>
      <c r="E9" s="415">
        <f>Datos!AQ9</f>
        <v>10</v>
      </c>
      <c r="F9" s="416">
        <f>IF(ISNUMBER(E9/Datos!BH9),E9/Datos!BH9," - ")</f>
        <v>1</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1</v>
      </c>
      <c r="D10" s="415">
        <f>Datos!BK10</f>
        <v>0</v>
      </c>
      <c r="E10" s="415">
        <f>Datos!AQ10</f>
        <v>1</v>
      </c>
      <c r="F10" s="416">
        <f>IF(ISNUMBER(E10/Datos!BH10),E10/Datos!BH10," - ")</f>
        <v>1</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2</v>
      </c>
      <c r="D11" s="415">
        <f>Datos!BK11</f>
        <v>0</v>
      </c>
      <c r="E11" s="415">
        <f>Datos!AQ11</f>
        <v>2</v>
      </c>
      <c r="F11" s="416">
        <f>IF(ISNUMBER(E11/Datos!BH11),E11/Datos!BH11," - ")</f>
        <v>1</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0</v>
      </c>
      <c r="D12" s="415">
        <f>Datos!BK12</f>
        <v>0</v>
      </c>
      <c r="E12" s="415">
        <f>Datos!AQ12</f>
        <v>0</v>
      </c>
      <c r="F12" s="416" t="str">
        <f>IF(ISNUMBER(E12/Datos!BH12),E12/Datos!BH12," - ")</f>
        <v xml:space="preserve"> - </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5</v>
      </c>
      <c r="D16" s="415">
        <f>Datos!BK16</f>
        <v>0</v>
      </c>
      <c r="E16" s="415">
        <f>Datos!AQ16</f>
        <v>5</v>
      </c>
      <c r="F16" s="416">
        <f>IF(ISNUMBER(E16/Datos!BH16),E16/Datos!BH16," - ")</f>
        <v>1</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0</v>
      </c>
      <c r="D17" s="415">
        <f>Datos!BK17</f>
        <v>0</v>
      </c>
      <c r="E17" s="415">
        <f>Datos!AQ17</f>
        <v>0</v>
      </c>
      <c r="F17" s="416" t="str">
        <f>IF(ISNUMBER(E17/Datos!BH17),E17/Datos!BH17," - ")</f>
        <v xml:space="preserve"> - </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1</v>
      </c>
      <c r="D18" s="415">
        <f>Datos!BK18</f>
        <v>0</v>
      </c>
      <c r="E18" s="415">
        <f>Datos!AQ18</f>
        <v>1</v>
      </c>
      <c r="F18" s="416">
        <f>IF(ISNUMBER(E18/Datos!BH18),E18/Datos!BH18," - ")</f>
        <v>1</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nbZWS0gkObxuUghTN3stnyLkfDKF5HrSVMM6fmxlzagPBaH8yh2vAWZqTMuFoUSajUguYYpMjv+fxkrNstrgEQ==" saltValue="6oqJQwuTVtp2L5w/S4FH4Q=="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CANTABRIA</v>
      </c>
      <c r="C2" s="439"/>
      <c r="D2" s="382"/>
    </row>
    <row r="3" spans="1:9" ht="19.5">
      <c r="A3" s="440" t="s">
        <v>11</v>
      </c>
      <c r="B3" s="441" t="str">
        <f>Criterios!A10 &amp;"  "&amp;Criterios!B10</f>
        <v>Provincias  CANTABRIA</v>
      </c>
      <c r="C3" s="439"/>
      <c r="D3" s="440"/>
    </row>
    <row r="4" spans="1:9" ht="13.5" thickBot="1">
      <c r="B4" s="441" t="str">
        <f>Criterios!A11 &amp;"  "&amp;Criterios!B11</f>
        <v>Resumenes por Partidos Judiciales  SANTANDER</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10</v>
      </c>
      <c r="C9" s="422">
        <f>Datos!AQ9</f>
        <v>10</v>
      </c>
      <c r="D9" s="415">
        <f>IF(ISNUMBER(Datos!M9),Datos!M9," - ")</f>
        <v>1171</v>
      </c>
      <c r="E9" s="416">
        <f t="shared" ref="E9:E14" si="0">IF(ISNUMBER(D9/B9),D9/B9," - ")</f>
        <v>117.1</v>
      </c>
      <c r="F9" s="415">
        <f>IF(ISNUMBER(Datos!N9),Datos!N9," - ")</f>
        <v>787</v>
      </c>
      <c r="G9" s="416">
        <f t="shared" ref="G9:G14" si="1">IF(ISNUMBER(F9/B9),F9/B9," - ")</f>
        <v>78.7</v>
      </c>
      <c r="H9" s="415">
        <f>IF(ISNUMBER(Datos!O9),Datos!O9," - ")</f>
        <v>788</v>
      </c>
      <c r="I9" s="416">
        <f>IF(ISNUMBER(H9/B9),H9/B9," - ")</f>
        <v>78.8</v>
      </c>
    </row>
    <row r="10" spans="1:9">
      <c r="A10" s="414" t="str">
        <f>Datos!A10</f>
        <v>Jdos. Violencia contra la mujer</v>
      </c>
      <c r="B10" s="444">
        <f>Datos!AO10</f>
        <v>1</v>
      </c>
      <c r="C10" s="422">
        <f>Datos!AQ10</f>
        <v>1</v>
      </c>
      <c r="D10" s="415">
        <f>IF(ISNUMBER(Datos!M10),Datos!M10," - ")</f>
        <v>20</v>
      </c>
      <c r="E10" s="416">
        <f>IF(ISNUMBER(D10/B10),D10/B10," - ")</f>
        <v>20</v>
      </c>
      <c r="F10" s="415">
        <f>IF(ISNUMBER(Datos!N10),Datos!N10," - ")</f>
        <v>7</v>
      </c>
      <c r="G10" s="416">
        <f>IF(ISNUMBER(F10/B10),F10/B10," - ")</f>
        <v>7</v>
      </c>
      <c r="H10" s="415">
        <f>IF(ISNUMBER(Datos!O10),Datos!O10," - ")</f>
        <v>15</v>
      </c>
      <c r="I10" s="416">
        <f t="shared" ref="I10:I13" si="2">IF(ISNUMBER(H10/B10),H10/B10," - ")</f>
        <v>15</v>
      </c>
    </row>
    <row r="11" spans="1:9">
      <c r="A11" s="414" t="str">
        <f>Datos!A11</f>
        <v xml:space="preserve">Jdos. Familia                                   </v>
      </c>
      <c r="B11" s="444">
        <f>Datos!AO11</f>
        <v>2</v>
      </c>
      <c r="C11" s="422">
        <f>Datos!AQ11</f>
        <v>2</v>
      </c>
      <c r="D11" s="415">
        <f>IF(ISNUMBER(Datos!M11),Datos!M11," - ")</f>
        <v>99</v>
      </c>
      <c r="E11" s="416">
        <f t="shared" si="0"/>
        <v>49.5</v>
      </c>
      <c r="F11" s="415">
        <f>IF(ISNUMBER(Datos!N11),Datos!N11," - ")</f>
        <v>312</v>
      </c>
      <c r="G11" s="416">
        <f t="shared" si="1"/>
        <v>156</v>
      </c>
      <c r="H11" s="415">
        <f>IF(ISNUMBER(Datos!O11),Datos!O11," - ")</f>
        <v>175</v>
      </c>
      <c r="I11" s="416">
        <f t="shared" si="2"/>
        <v>87.5</v>
      </c>
    </row>
    <row r="12" spans="1:9">
      <c r="A12" s="414" t="str">
        <f>Datos!A12</f>
        <v xml:space="preserve">Jdos. 1ª Instª. e Instr.                        </v>
      </c>
      <c r="B12" s="444">
        <f>Datos!AO12</f>
        <v>0</v>
      </c>
      <c r="C12" s="422">
        <f>Datos!AQ12</f>
        <v>0</v>
      </c>
      <c r="D12" s="415" t="str">
        <f>IF(ISNUMBER(Datos!M12),Datos!M12," - ")</f>
        <v xml:space="preserve"> - </v>
      </c>
      <c r="E12" s="416" t="str">
        <f t="shared" si="0"/>
        <v xml:space="preserve"> - </v>
      </c>
      <c r="F12" s="415" t="str">
        <f>IF(ISNUMBER(Datos!N12),Datos!N12," - ")</f>
        <v xml:space="preserve"> - </v>
      </c>
      <c r="G12" s="416" t="str">
        <f t="shared" si="1"/>
        <v xml:space="preserve"> - </v>
      </c>
      <c r="H12" s="415" t="str">
        <f>IF(ISNUMBER(Datos!O12),Datos!O12," - ")</f>
        <v xml:space="preserve"> - </v>
      </c>
      <c r="I12" s="416" t="str">
        <f t="shared" si="2"/>
        <v xml:space="preserve"> - </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13</v>
      </c>
      <c r="C14" s="998">
        <f>Datos!AR14</f>
        <v>13</v>
      </c>
      <c r="D14" s="996">
        <f>SUBTOTAL(9,D9:D13)</f>
        <v>1290</v>
      </c>
      <c r="E14" s="997">
        <f t="shared" si="0"/>
        <v>99.230769230769226</v>
      </c>
      <c r="F14" s="996">
        <f>SUBTOTAL(9,F9:F13)</f>
        <v>1106</v>
      </c>
      <c r="G14" s="997">
        <f t="shared" si="1"/>
        <v>85.07692307692308</v>
      </c>
      <c r="H14" s="996">
        <f>SUBTOTAL(9,H9:H13)</f>
        <v>978</v>
      </c>
      <c r="I14" s="997">
        <f>IF(ISNUMBER(H14/B14),H14/B14," - ")</f>
        <v>75.230769230769226</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5</v>
      </c>
      <c r="C16" s="445">
        <f>Datos!AQ16</f>
        <v>5</v>
      </c>
      <c r="D16" s="415">
        <f>IF(ISNUMBER(Datos!M16),Datos!M16," - ")</f>
        <v>583</v>
      </c>
      <c r="E16" s="416">
        <f t="shared" ref="E16:E20" si="3">IF(ISNUMBER(D16/B16),D16/B16," - ")</f>
        <v>116.6</v>
      </c>
      <c r="F16" s="415">
        <f>IF(ISNUMBER(Datos!N16),Datos!N16," - ")</f>
        <v>1285</v>
      </c>
      <c r="G16" s="416">
        <f t="shared" ref="G16:G20" si="4">IF(ISNUMBER(F16/B16),F16/B16," - ")</f>
        <v>257</v>
      </c>
      <c r="H16" s="415">
        <f>IF(ISNUMBER(Datos!O16),Datos!O16," - ")</f>
        <v>185</v>
      </c>
      <c r="I16" s="416">
        <f t="shared" ref="I16:I19" si="5">IF(ISNUMBER(H16/B16),H16/B16," - ")</f>
        <v>37</v>
      </c>
    </row>
    <row r="17" spans="1:9">
      <c r="A17" s="414" t="str">
        <f>Datos!A17</f>
        <v xml:space="preserve">Jdos. 1ª Instª. e Instr.                        </v>
      </c>
      <c r="B17" s="444">
        <f>Datos!AO17</f>
        <v>0</v>
      </c>
      <c r="C17" s="445">
        <f>Datos!AQ17</f>
        <v>0</v>
      </c>
      <c r="D17" s="415" t="str">
        <f>IF(ISNUMBER(Datos!M17),Datos!M17," - ")</f>
        <v xml:space="preserve"> - </v>
      </c>
      <c r="E17" s="416" t="str">
        <f t="shared" si="3"/>
        <v xml:space="preserve"> - </v>
      </c>
      <c r="F17" s="415" t="str">
        <f>IF(ISNUMBER(Datos!N17),Datos!N17," - ")</f>
        <v xml:space="preserve"> - </v>
      </c>
      <c r="G17" s="416" t="str">
        <f t="shared" si="4"/>
        <v xml:space="preserve"> - </v>
      </c>
      <c r="H17" s="415" t="str">
        <f>IF(ISNUMBER(Datos!O17),Datos!O17," - ")</f>
        <v xml:space="preserve"> - </v>
      </c>
      <c r="I17" s="416" t="str">
        <f t="shared" si="5"/>
        <v xml:space="preserve"> - </v>
      </c>
    </row>
    <row r="18" spans="1:9">
      <c r="A18" s="414" t="str">
        <f>Datos!A18</f>
        <v>Jdos. Violencia contra la mujer</v>
      </c>
      <c r="B18" s="444">
        <f>Datos!AO18</f>
        <v>1</v>
      </c>
      <c r="C18" s="445">
        <f>Datos!AQ18</f>
        <v>1</v>
      </c>
      <c r="D18" s="415">
        <f>IF(ISNUMBER(Datos!M18),Datos!M18," - ")</f>
        <v>42</v>
      </c>
      <c r="E18" s="416">
        <f>IF(ISNUMBER(D18/B18),D18/B18," - ")</f>
        <v>42</v>
      </c>
      <c r="F18" s="415">
        <f>IF(ISNUMBER(Datos!N18),Datos!N18," - ")</f>
        <v>212</v>
      </c>
      <c r="G18" s="416">
        <f>IF(ISNUMBER(F18/B18),F18/B18," - ")</f>
        <v>212</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6</v>
      </c>
      <c r="C20" s="998">
        <f>Datos!AR20</f>
        <v>6</v>
      </c>
      <c r="D20" s="996">
        <f>SUBTOTAL(9,D16:D19)</f>
        <v>625</v>
      </c>
      <c r="E20" s="997">
        <f t="shared" si="3"/>
        <v>104.16666666666667</v>
      </c>
      <c r="F20" s="996">
        <f>SUBTOTAL(9,F16:F19)</f>
        <v>1497</v>
      </c>
      <c r="G20" s="997">
        <f t="shared" si="4"/>
        <v>249.5</v>
      </c>
      <c r="H20" s="996">
        <f>SUBTOTAL(9,H16:H19)</f>
        <v>185</v>
      </c>
      <c r="I20" s="997">
        <f>IF(ISNUMBER(H20/B20),H20/B20," - ")</f>
        <v>30.833333333333332</v>
      </c>
    </row>
    <row r="21" spans="1:9" ht="14.25" thickTop="1" thickBot="1">
      <c r="A21" s="940" t="str">
        <f>Datos!A21</f>
        <v>TOTAL JURISDICCIONES</v>
      </c>
      <c r="B21" s="941">
        <f>Datos!AP21</f>
        <v>18</v>
      </c>
      <c r="C21" s="941">
        <f>Datos!AR21</f>
        <v>18</v>
      </c>
      <c r="D21" s="941">
        <f>SUBTOTAL(9,D8:D20)</f>
        <v>1915</v>
      </c>
      <c r="E21" s="942">
        <f>IF(ISNUMBER(D21/B21),D21/B21," - ")</f>
        <v>106.38888888888889</v>
      </c>
      <c r="F21" s="941">
        <f>SUBTOTAL(9,F8:F20)</f>
        <v>2603</v>
      </c>
      <c r="G21" s="942">
        <f>IF(ISNUMBER(F21/B21),F21/B21," - ")</f>
        <v>144.61111111111111</v>
      </c>
      <c r="H21" s="941">
        <f>SUBTOTAL(9,H8:H20)</f>
        <v>1163</v>
      </c>
      <c r="I21" s="942">
        <f>IF(ISNUMBER(H21/B21),H21/B21," - ")</f>
        <v>64.611111111111114</v>
      </c>
    </row>
    <row r="24" spans="1:9">
      <c r="A24" s="403" t="str">
        <f>Criterios!A4</f>
        <v>Fecha Informe: 06 jun. 2023</v>
      </c>
    </row>
    <row r="29" spans="1:9">
      <c r="A29" s="426"/>
    </row>
  </sheetData>
  <sheetProtection algorithmName="SHA-512" hashValue="/FVKGXioQhmKDS5pA7F8ylgc7wXjYvH/86UQyX6C4nBaSijdQXQAC+j6sZ9ZennVSUdY037+NHE3uSPBJxoK+Q==" saltValue="3yJA/3vlNrhWLoIYXAwdv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CANTABRIA</v>
      </c>
    </row>
    <row r="3" spans="1:4" ht="19.5">
      <c r="A3" s="446" t="s">
        <v>33</v>
      </c>
      <c r="B3" s="403" t="str">
        <f>Criterios!A10 &amp;"  "&amp;Criterios!B10</f>
        <v>Provincias  CANTABRIA</v>
      </c>
    </row>
    <row r="4" spans="1:4" ht="13.5" thickBot="1">
      <c r="B4" s="403" t="str">
        <f>Criterios!A11 &amp;"  "&amp;Criterios!B11</f>
        <v>Resumenes por Partidos Judiciales  SANTANDER</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f>IF(ISNUMBER(Datos!P9),Datos!P9," - ")</f>
        <v>567</v>
      </c>
      <c r="C9" s="451">
        <f>IF(ISNUMBER(Datos!Q9),Datos!Q9," - ")</f>
        <v>898</v>
      </c>
      <c r="D9" s="420">
        <f>IF(ISNUMBER(Datos!R9),Datos!R9," - ")</f>
        <v>7814</v>
      </c>
    </row>
    <row r="10" spans="1:4">
      <c r="A10" s="414" t="str">
        <f>Datos!A10</f>
        <v>Jdos. Violencia contra la mujer</v>
      </c>
      <c r="B10" s="450">
        <f>IF(ISNUMBER(Datos!P10),Datos!P10," - ")</f>
        <v>11</v>
      </c>
      <c r="C10" s="451">
        <f>IF(ISNUMBER(Datos!Q10),Datos!Q10," - ")</f>
        <v>4</v>
      </c>
      <c r="D10" s="420">
        <f>IF(ISNUMBER(Datos!R10),Datos!R10," - ")</f>
        <v>77</v>
      </c>
    </row>
    <row r="11" spans="1:4">
      <c r="A11" s="414" t="str">
        <f>Datos!A11</f>
        <v xml:space="preserve">Jdos. Familia                                   </v>
      </c>
      <c r="B11" s="450">
        <f>IF(ISNUMBER(Datos!P11),Datos!P11," - ")</f>
        <v>66</v>
      </c>
      <c r="C11" s="451">
        <f>IF(ISNUMBER(Datos!Q11),Datos!Q11," - ")</f>
        <v>75</v>
      </c>
      <c r="D11" s="420">
        <f>IF(ISNUMBER(Datos!R11),Datos!R11," - ")</f>
        <v>706</v>
      </c>
    </row>
    <row r="12" spans="1:4">
      <c r="A12" s="414" t="str">
        <f>Datos!A12</f>
        <v xml:space="preserve">Jdos. 1ª Instª. e Instr.                        </v>
      </c>
      <c r="B12" s="450" t="str">
        <f>IF(ISNUMBER(Datos!P12),Datos!P12," - ")</f>
        <v xml:space="preserve"> - </v>
      </c>
      <c r="C12" s="451" t="str">
        <f>IF(ISNUMBER(Datos!Q12),Datos!Q12," - ")</f>
        <v xml:space="preserve"> - </v>
      </c>
      <c r="D12" s="420" t="str">
        <f>IF(ISNUMBER(Datos!R12),Datos!R12," - ")</f>
        <v xml:space="preserve"> - </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644</v>
      </c>
      <c r="C14" s="1000">
        <f>SUBTOTAL(9,C9:C13)</f>
        <v>977</v>
      </c>
      <c r="D14" s="998">
        <f>SUBTOTAL(9,D9:D13)</f>
        <v>8597</v>
      </c>
    </row>
    <row r="15" spans="1:4" ht="13.5" thickTop="1">
      <c r="A15" s="408" t="str">
        <f>Datos!A15</f>
        <v xml:space="preserve">Jurisdicción Penal ( 2 ):                      </v>
      </c>
      <c r="B15" s="418"/>
      <c r="C15" s="452"/>
      <c r="D15" s="420"/>
    </row>
    <row r="16" spans="1:4">
      <c r="A16" s="414" t="str">
        <f>Datos!A16</f>
        <v xml:space="preserve">Jdos. Instrucción                               </v>
      </c>
      <c r="B16" s="450">
        <f>IF(ISNUMBER(Datos!P16),Datos!P16," - ")</f>
        <v>296</v>
      </c>
      <c r="C16" s="451">
        <f>IF(ISNUMBER(Datos!Q16),Datos!Q16," - ")</f>
        <v>332</v>
      </c>
      <c r="D16" s="420">
        <f>IF(ISNUMBER(Datos!R16),Datos!R16," - ")</f>
        <v>495</v>
      </c>
    </row>
    <row r="17" spans="1:4">
      <c r="A17" s="414" t="str">
        <f>Datos!A17</f>
        <v xml:space="preserve">Jdos. 1ª Instª. e Instr.                        </v>
      </c>
      <c r="B17" s="450" t="str">
        <f>IF(ISNUMBER(Datos!P17),Datos!P17," - ")</f>
        <v xml:space="preserve"> - </v>
      </c>
      <c r="C17" s="451" t="str">
        <f>IF(ISNUMBER(Datos!Q17),Datos!Q17," - ")</f>
        <v xml:space="preserve"> - </v>
      </c>
      <c r="D17" s="420" t="str">
        <f>IF(ISNUMBER(Datos!R17),Datos!R17," - ")</f>
        <v xml:space="preserve"> - </v>
      </c>
    </row>
    <row r="18" spans="1:4">
      <c r="A18" s="414" t="str">
        <f>Datos!A18</f>
        <v>Jdos. Violencia contra la mujer</v>
      </c>
      <c r="B18" s="450">
        <f>IF(ISNUMBER(Datos!P18),Datos!P18," - ")</f>
        <v>7</v>
      </c>
      <c r="C18" s="451">
        <f>IF(ISNUMBER(Datos!Q18),Datos!Q18," - ")</f>
        <v>4</v>
      </c>
      <c r="D18" s="420">
        <f>IF(ISNUMBER(Datos!R18),Datos!R18," - ")</f>
        <v>12</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303</v>
      </c>
      <c r="C20" s="1000">
        <f>SUBTOTAL(9,C16:C19)</f>
        <v>336</v>
      </c>
      <c r="D20" s="998">
        <f>SUBTOTAL(9,D16:D19)</f>
        <v>507</v>
      </c>
    </row>
    <row r="21" spans="1:4" ht="16.5" customHeight="1" thickTop="1" thickBot="1">
      <c r="A21" s="940" t="str">
        <f>Datos!A21</f>
        <v>TOTAL JURISDICCIONES</v>
      </c>
      <c r="B21" s="945">
        <f>SUBTOTAL(9,B8:B20)</f>
        <v>947</v>
      </c>
      <c r="C21" s="946">
        <f>SUBTOTAL(9,C8:C20)</f>
        <v>1313</v>
      </c>
      <c r="D21" s="947">
        <f>SUBTOTAL(9,D8:D20)</f>
        <v>9104</v>
      </c>
    </row>
    <row r="22" spans="1:4" ht="7.5" customHeight="1"/>
    <row r="23" spans="1:4" ht="6" customHeight="1"/>
    <row r="24" spans="1:4">
      <c r="A24" s="403" t="str">
        <f>Criterios!A4</f>
        <v>Fecha Informe: 06 jun. 2023</v>
      </c>
    </row>
    <row r="29" spans="1:4">
      <c r="A29" s="426"/>
    </row>
  </sheetData>
  <sheetProtection algorithmName="SHA-512" hashValue="3iYv8h5nWFypcHyscHsE7lWZXNtiVr01uTrwRZ2pCC1D6hMAurcbzozmB9Xlu1AItuTChzfG2p9fQl3DWW4jCg==" saltValue="HyvkHg6MEr4Tlpb0zc4AP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CANTABRIA</v>
      </c>
    </row>
    <row r="3" spans="1:11" ht="18.75" customHeight="1">
      <c r="A3" s="446" t="s">
        <v>131</v>
      </c>
      <c r="B3" s="403" t="str">
        <f>Criterios!A10 &amp;"  "&amp;Criterios!B10</f>
        <v>Provincias  CANTABRIA</v>
      </c>
    </row>
    <row r="4" spans="1:11" ht="10.5" customHeight="1" thickBot="1">
      <c r="B4" s="403" t="str">
        <f>Criterios!A11 &amp;"  "&amp;Criterios!B11</f>
        <v>Resumenes por Partidos Judiciales  SANTANDER</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f>IF(ISNUMBER(
   IF(J_V="SI",(Datos!I9-Datos!S9)/Datos!S9,(Datos!I9+Datos!Y9-(Datos!S9+Datos!AG9))/(Datos!S9+Datos!AG9))
     ),IF(J_V="SI",(Datos!I9-Datos!S9)/Datos!S9,(Datos!I9+Datos!Y9-(Datos!S9+Datos!AG9))/(Datos!S9+Datos!AG9))," - ")</f>
        <v>2.3232117383329937E-2</v>
      </c>
      <c r="C9" s="473">
        <f>IF(ISNUMBER(
   IF(J_V="SI",(Datos!J9-Datos!T9)/Datos!T9,(Datos!J9+Datos!Z9-(Datos!T9+Datos!AH9))/(Datos!T9+Datos!AH9))
     ),IF(J_V="SI",(Datos!J9-Datos!T9)/Datos!T9,(Datos!J9+Datos!Z9-(Datos!T9+Datos!AH9))/(Datos!T9+Datos!AH9))," - ")</f>
        <v>-0.66966637401229145</v>
      </c>
      <c r="D9" s="473">
        <f>IF(ISNUMBER(
   IF(J_V="SI",(Datos!K9-Datos!U9)/Datos!U9,(Datos!K9+Datos!AA9-(Datos!U9+Datos!AI9))/(Datos!U9+Datos!AI9))
     ),IF(J_V="SI",(Datos!K9-Datos!U9)/Datos!U9,(Datos!K9+Datos!AA9-(Datos!U9+Datos!AI9))/(Datos!U9+Datos!AI9))," - ")</f>
        <v>-0.43124724548259147</v>
      </c>
      <c r="E9" s="473">
        <f>IF(ISNUMBER(
   IF(J_V="SI",(Datos!L9-Datos!V9)/Datos!V9,(Datos!L9+Datos!AB9-(Datos!V9+Datos!AJ9))/(Datos!V9+Datos!AJ9))
     ),IF(J_V="SI",(Datos!L9-Datos!V9)/Datos!V9,(Datos!L9+Datos!AB9-(Datos!V9+Datos!AJ9))/(Datos!V9+Datos!AJ9))," - ")</f>
        <v>-8.9089800893945553E-2</v>
      </c>
      <c r="F9" s="473">
        <f>IF(ISNUMBER((Datos!M9-Datos!W9)/Datos!W9),(Datos!M9-Datos!W9)/Datos!W9," - ")</f>
        <v>-0.21829105473965288</v>
      </c>
      <c r="G9" s="474">
        <f>IF(ISNUMBER((Datos!N9-Datos!X9)/Datos!X9),(Datos!N9-Datos!X9)/Datos!X9," - ")</f>
        <v>-0.44887955182072831</v>
      </c>
      <c r="H9" s="472">
        <f>IF(ISNUMBER(((NºAsuntos!G9/NºAsuntos!E9)-Datos!BD9)/Datos!BD9),((NºAsuntos!G9/NºAsuntos!E9)-Datos!BD9)/Datos!BD9," - ")</f>
        <v>0.72175252463874662</v>
      </c>
      <c r="I9" s="473">
        <f>IF(ISNUMBER(((NºAsuntos!I9/NºAsuntos!G9)-Datos!BE9)/Datos!BE9),((NºAsuntos!I9/NºAsuntos!G9)-Datos!BE9)/Datos!BE9," - ")</f>
        <v>0.60159259339142779</v>
      </c>
      <c r="J9" s="478">
        <f>IF(ISNUMBER((('Resol  Asuntos'!D9/NºAsuntos!G9)-Datos!BF9)/Datos!BF9),(('Resol  Asuntos'!D9/NºAsuntos!G9)-Datos!BF9)/Datos!BF9," - ")</f>
        <v>0.44180050943275428</v>
      </c>
      <c r="K9" s="479">
        <f>IF(ISNUMBER((((NºAsuntos!C9+NºAsuntos!E9)/NºAsuntos!G9)-Datos!BG9)/Datos!BG9),(((NºAsuntos!C9+NºAsuntos!E9)/NºAsuntos!G9)-Datos!BG9)/Datos!BG9," - ")</f>
        <v>0.41282667057079248</v>
      </c>
    </row>
    <row r="10" spans="1:11">
      <c r="A10" s="414" t="str">
        <f>Datos!A10</f>
        <v>Jdos. Violencia contra la mujer</v>
      </c>
      <c r="B10" s="472">
        <f>IF(ISNUMBER((Datos!I10-Datos!S10)/Datos!S10),(Datos!I10-Datos!S10)/Datos!S10," - ")</f>
        <v>-9.7560975609756101E-2</v>
      </c>
      <c r="C10" s="473">
        <f>IF(ISNUMBER((Datos!J10-Datos!T10)/Datos!T10),(Datos!J10-Datos!T10)/Datos!T10," - ")</f>
        <v>0.36666666666666664</v>
      </c>
      <c r="D10" s="473">
        <f>IF(ISNUMBER((Datos!K10-Datos!U10)/Datos!U10),(Datos!K10-Datos!U10)/Datos!U10," - ")</f>
        <v>0.24242424242424243</v>
      </c>
      <c r="E10" s="473">
        <f>IF(ISNUMBER((Datos!L10-Datos!V10)/Datos!V10),(Datos!L10-Datos!V10)/Datos!V10," - ")</f>
        <v>-2.6315789473684209E-2</v>
      </c>
      <c r="F10" s="473">
        <f>IF(ISNUMBER((Datos!M10-Datos!W10)/Datos!W10),(Datos!M10-Datos!W10)/Datos!W10," - ")</f>
        <v>0.25</v>
      </c>
      <c r="G10" s="474">
        <f>IF(ISNUMBER((Datos!N10-Datos!X10)/Datos!X10),(Datos!N10-Datos!X10)/Datos!X10," - ")</f>
        <v>0.16666666666666666</v>
      </c>
      <c r="H10" s="472">
        <f>IF(ISNUMBER(((NºAsuntos!G10/NºAsuntos!E10)-Datos!BD10)/Datos!BD10),((NºAsuntos!G10/NºAsuntos!E10)-Datos!BD10)/Datos!BD10," - ")</f>
        <v>-9.0909090909090981E-2</v>
      </c>
      <c r="I10" s="473">
        <f>IF(ISNUMBER(((NºAsuntos!I10/NºAsuntos!G10)-Datos!BE10)/Datos!BE10),((NºAsuntos!I10/NºAsuntos!G10)-Datos!BE10)/Datos!BE10," - ")</f>
        <v>-0.21630295250320927</v>
      </c>
      <c r="J10" s="478">
        <f>IF(ISNUMBER((('Resol  Asuntos'!D10/NºAsuntos!G10)-Datos!BF10)/Datos!BF10),(('Resol  Asuntos'!D10/NºAsuntos!G10)-Datos!BF10)/Datos!BF10," - ")</f>
        <v>6.097560975609706E-3</v>
      </c>
      <c r="K10" s="479">
        <f>IF(ISNUMBER((((NºAsuntos!C10+NºAsuntos!E10)/NºAsuntos!G10)-Datos!BG10)/Datos!BG10),(((NºAsuntos!C10+NºAsuntos!E10)/NºAsuntos!G10)-Datos!BG10)/Datos!BG10," - ")</f>
        <v>-0.11576777739608381</v>
      </c>
    </row>
    <row r="11" spans="1:11">
      <c r="A11" s="414" t="str">
        <f>Datos!A11</f>
        <v xml:space="preserve">Jdos. Familia                                   </v>
      </c>
      <c r="B11" s="472">
        <f>IF(ISNUMBER(
   IF(J_V="SI",(Datos!I11-Datos!S11)/Datos!S11,(Datos!I11+Datos!Y11-(Datos!S11+Datos!AG11))/(Datos!S11+Datos!AG11))
     ),IF(J_V="SI",(Datos!I11-Datos!S11)/Datos!S11,(Datos!I11+Datos!Y11-(Datos!S11+Datos!AG11))/(Datos!S11+Datos!AG11))," - ")</f>
        <v>-5.8353317346123104E-2</v>
      </c>
      <c r="C11" s="473">
        <f>IF(ISNUMBER(
   IF(J_V="SI",(Datos!J11-Datos!T11)/Datos!T11,(Datos!J11+Datos!Z11-(Datos!T11+Datos!AH11))/(Datos!T11+Datos!AH11))
     ),IF(J_V="SI",(Datos!J11-Datos!T11)/Datos!T11,(Datos!J11+Datos!Z11-(Datos!T11+Datos!AH11))/(Datos!T11+Datos!AH11))," - ")</f>
        <v>-0.11864406779661017</v>
      </c>
      <c r="D11" s="473">
        <f>IF(ISNUMBER(
   IF(J_V="SI",(Datos!K11-Datos!U11)/Datos!U11,(Datos!K11+Datos!AA11-(Datos!U11+Datos!AI11))/(Datos!U11+Datos!AI11))
     ),IF(J_V="SI",(Datos!K11-Datos!U11)/Datos!U11,(Datos!K11+Datos!AA11-(Datos!U11+Datos!AI11))/(Datos!U11+Datos!AI11))," - ")</f>
        <v>-0.36516129032258066</v>
      </c>
      <c r="E11" s="473">
        <f>IF(ISNUMBER(
   IF(J_V="SI",(Datos!L11-Datos!V11)/Datos!V11,(Datos!L11+Datos!AB11-(Datos!V11+Datos!AJ11))/(Datos!V11+Datos!AJ11))
     ),IF(J_V="SI",(Datos!L11-Datos!V11)/Datos!V11,(Datos!L11+Datos!AB11-(Datos!V11+Datos!AJ11))/(Datos!V11+Datos!AJ11))," - ")</f>
        <v>-0.1272264631043257</v>
      </c>
      <c r="F11" s="473">
        <f>IF(ISNUMBER((Datos!M11-Datos!W11)/Datos!W11),(Datos!M11-Datos!W11)/Datos!W11," - ")</f>
        <v>-0.56387665198237891</v>
      </c>
      <c r="G11" s="474">
        <f>IF(ISNUMBER((Datos!N11-Datos!X11)/Datos!X11),(Datos!N11-Datos!X11)/Datos!X11," - ")</f>
        <v>-2.1943573667711599E-2</v>
      </c>
      <c r="H11" s="472">
        <f>IF(ISNUMBER(((NºAsuntos!G11/NºAsuntos!E11)-Datos!BD11)/Datos!BD11),((NºAsuntos!G11/NºAsuntos!E11)-Datos!BD11)/Datos!BD11," - ")</f>
        <v>-0.27970223325062032</v>
      </c>
      <c r="I11" s="473">
        <f>IF(ISNUMBER(((NºAsuntos!I11/NºAsuntos!G11)-Datos!BE11)/Datos!BE11),((NºAsuntos!I11/NºAsuntos!G11)-Datos!BE11)/Datos!BE11," - ")</f>
        <v>0.37479571360599095</v>
      </c>
      <c r="J11" s="478">
        <f>IF(ISNUMBER((('Resol  Asuntos'!D11/NºAsuntos!G11)-Datos!BF11)/Datos!BF11),(('Resol  Asuntos'!D11/NºAsuntos!G11)-Datos!BF11)/Datos!BF11," - ")</f>
        <v>-0.5111438183347351</v>
      </c>
      <c r="K11" s="479">
        <f>IF(ISNUMBER((((NºAsuntos!C11+NºAsuntos!E11)/NºAsuntos!G11)-Datos!BG11)/Datos!BG11),(((NºAsuntos!C11+NºAsuntos!E11)/NºAsuntos!G11)-Datos!BG11)/Datos!BG11," - ")</f>
        <v>0.45084510055626875</v>
      </c>
    </row>
    <row r="12" spans="1:11">
      <c r="A12" s="414" t="str">
        <f>Datos!A12</f>
        <v xml:space="preserve">Jdos. 1ª Instª. e Instr.                        </v>
      </c>
      <c r="B12" s="472" t="str">
        <f>IF(ISNUMBER(
   IF(J_V="SI",(Datos!I12-Datos!S12)/Datos!S12,(Datos!I12+Datos!Y12-(Datos!S12+Datos!AG12))/(Datos!S12+Datos!AG12))
     ),IF(J_V="SI",(Datos!I12-Datos!S12)/Datos!S12,(Datos!I12+Datos!Y12-(Datos!S12+Datos!AG12))/(Datos!S12+Datos!AG12))," - ")</f>
        <v xml:space="preserve"> - </v>
      </c>
      <c r="C12" s="473" t="str">
        <f>IF(ISNUMBER(
   IF(J_V="SI",(Datos!J12-Datos!T12)/Datos!T12,(Datos!J12+Datos!Z12-(Datos!T12+Datos!AH12))/(Datos!T12+Datos!AH12))
     ),IF(J_V="SI",(Datos!J12-Datos!T12)/Datos!T12,(Datos!J12+Datos!Z12-(Datos!T12+Datos!AH12))/(Datos!T12+Datos!AH12))," - ")</f>
        <v xml:space="preserve"> - </v>
      </c>
      <c r="D12" s="473" t="str">
        <f>IF(ISNUMBER(
   IF(J_V="SI",(Datos!K12-Datos!U12)/Datos!U12,(Datos!K12+Datos!AA12-(Datos!U12+Datos!AI12))/(Datos!U12+Datos!AI12))
     ),IF(J_V="SI",(Datos!K12-Datos!U12)/Datos!U12,(Datos!K12+Datos!AA12-(Datos!U12+Datos!AI12))/(Datos!U12+Datos!AI12))," - ")</f>
        <v xml:space="preserve"> - </v>
      </c>
      <c r="E12" s="473" t="str">
        <f>IF(ISNUMBER(
   IF(J_V="SI",(Datos!L12-Datos!V12)/Datos!V12,(Datos!L12+Datos!AB12-(Datos!V12+Datos!AJ12))/(Datos!V12+Datos!AJ12))
     ),IF(J_V="SI",(Datos!L12-Datos!V12)/Datos!V12,(Datos!L12+Datos!AB12-(Datos!V12+Datos!AJ12))/(Datos!V12+Datos!AJ12))," - ")</f>
        <v xml:space="preserve"> - </v>
      </c>
      <c r="F12" s="473" t="str">
        <f>IF(ISNUMBER((Datos!M12-Datos!W12)/Datos!W12),(Datos!M12-Datos!W12)/Datos!W12," - ")</f>
        <v xml:space="preserve"> - </v>
      </c>
      <c r="G12" s="474" t="str">
        <f>IF(ISNUMBER((Datos!N12-Datos!X12)/Datos!X12),(Datos!N12-Datos!X12)/Datos!X12," - ")</f>
        <v xml:space="preserve"> - </v>
      </c>
      <c r="H12" s="472" t="str">
        <f>IF(ISNUMBER(((NºAsuntos!G12/NºAsuntos!E12)-Datos!BD12)/Datos!BD12),((NºAsuntos!G12/NºAsuntos!E12)-Datos!BD12)/Datos!BD12," - ")</f>
        <v xml:space="preserve"> - </v>
      </c>
      <c r="I12" s="473" t="str">
        <f>IF(ISNUMBER(((NºAsuntos!I12/NºAsuntos!G12)-Datos!BE12)/Datos!BE12),((NºAsuntos!I12/NºAsuntos!G12)-Datos!BE12)/Datos!BE12," - ")</f>
        <v xml:space="preserve"> - </v>
      </c>
      <c r="J12" s="478" t="str">
        <f>IF(ISNUMBER((('Resol  Asuntos'!D12/NºAsuntos!G12)-Datos!BF12)/Datos!BF12),(('Resol  Asuntos'!D12/NºAsuntos!G12)-Datos!BF12)/Datos!BF12," - ")</f>
        <v xml:space="preserve"> - </v>
      </c>
      <c r="K12" s="479" t="str">
        <f>IF(ISNUMBER((((NºAsuntos!C12+NºAsuntos!E12)/NºAsuntos!G12)-Datos!BG12)/Datos!BG12),(((NºAsuntos!C12+NºAsuntos!E12)/NºAsuntos!G12)-Datos!BG12)/Datos!BG12," - ")</f>
        <v xml:space="preserve"> - </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1.3596254276967404E-2</v>
      </c>
      <c r="C14" s="1002">
        <f>IF(ISNUMBER(
   IF(J_V="SI",(Datos!J14-Datos!T14)/Datos!T14,(Datos!J14+Datos!Z14-(Datos!T14+Datos!AH14))/(Datos!T14+Datos!AH14))
     ),IF(J_V="SI",(Datos!J14-Datos!T14)/Datos!T14,(Datos!J14+Datos!Z14-(Datos!T14+Datos!AH14))/(Datos!T14+Datos!AH14))," - ")</f>
        <v>-0.59541547277936968</v>
      </c>
      <c r="D14" s="1002">
        <f>IF(ISNUMBER(
   IF(J_V="SI",(Datos!K14-Datos!U14)/Datos!U14,(Datos!K14+Datos!AA14-(Datos!U14+Datos!AI14))/(Datos!U14+Datos!AI14))
     ),IF(J_V="SI",(Datos!K14-Datos!U14)/Datos!U14,(Datos!K14+Datos!AA14-(Datos!U14+Datos!AI14))/(Datos!U14+Datos!AI14))," - ")</f>
        <v>-0.4175084175084175</v>
      </c>
      <c r="E14" s="1002">
        <f>IF(ISNUMBER(
   IF(J_V="SI",(Datos!L14-Datos!V14)/Datos!V14,(Datos!L14+Datos!AB14-(Datos!V14+Datos!AJ14))/(Datos!V14+Datos!AJ14))
     ),IF(J_V="SI",(Datos!L14-Datos!V14)/Datos!V14,(Datos!L14+Datos!AB14-(Datos!V14+Datos!AJ14))/(Datos!V14+Datos!AJ14))," - ")</f>
        <v>-9.2939155591718656E-2</v>
      </c>
      <c r="F14" s="1003">
        <f>IF(ISNUMBER((Datos!M14-Datos!W14)/Datos!W14),(Datos!M14-Datos!W14)/Datos!W14," - ")</f>
        <v>-0.25904652498564046</v>
      </c>
      <c r="G14" s="1004">
        <f>IF(ISNUMBER((Datos!N14-Datos!X14)/Datos!X14),(Datos!N14-Datos!X14)/Datos!X14," - ")</f>
        <v>-0.36908157444381062</v>
      </c>
      <c r="H14" s="1004">
        <f>IF(ISNUMBER(((NºAsuntos!G14/NºAsuntos!E14)-Datos!BD14)/Datos!BD14),((NºAsuntos!G14/NºAsuntos!E14)-Datos!BD14)/Datos!BD14," - ")</f>
        <v>0.43972777825469062</v>
      </c>
      <c r="I14" s="1004">
        <f>IF(ISNUMBER(((NºAsuntos!I14/NºAsuntos!G14)-Datos!BE14)/Datos!BE14),((NºAsuntos!I14/NºAsuntos!G14)-Datos!BE14)/Datos!BE14," - ")</f>
        <v>0.55720850167202052</v>
      </c>
      <c r="J14" s="1004">
        <f>IF(ISNUMBER((('Resol  Asuntos'!D14/NºAsuntos!G14)-Datos!BF14)/Datos!BF14),(('Resol  Asuntos'!D14/NºAsuntos!G14)-Datos!BF14)/Datos!BF14," - ")</f>
        <v>0.25616805301000989</v>
      </c>
      <c r="K14" s="1004">
        <f>IF(ISNUMBER((((NºAsuntos!C14+NºAsuntos!E14)/NºAsuntos!G14)-Datos!BG14)/Datos!BG14),(((NºAsuntos!C14+NºAsuntos!E14)/NºAsuntos!G14)-Datos!BG14)/Datos!BG14," - ")</f>
        <v>0.40515912137030408</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f>IF(ISNUMBER(
   IF(D_I="SI",(Datos!I16-Datos!S16)/Datos!S16,(Datos!I16+Datos!AC16-(Datos!S16+Datos!AK16))/(Datos!S16+Datos!AK16))
     ),IF(D_I="SI",(Datos!I16-Datos!S16)/Datos!S16,(Datos!I16+Datos!AC16-(Datos!S16+Datos!AK16))/(Datos!S16+Datos!AK16))," - ")</f>
        <v>0.12889273356401384</v>
      </c>
      <c r="C16" s="473">
        <f>IF(ISNUMBER(
   IF(D_I="SI",(Datos!J16-Datos!T16)/Datos!T16,(Datos!J16+Datos!AD16-(Datos!T16+Datos!AL16))/(Datos!T16+Datos!AL16))
     ),IF(D_I="SI",(Datos!J16-Datos!T16)/Datos!T16,(Datos!J16+Datos!AD16-(Datos!T16+Datos!AL16))/(Datos!T16+Datos!AL16))," - ")</f>
        <v>3.604325190228274E-2</v>
      </c>
      <c r="D16" s="473">
        <f>IF(ISNUMBER(
   IF(D_I="SI",(Datos!K16-Datos!U16)/Datos!U16,(Datos!K16+Datos!AE16-(Datos!U16+Datos!AM16))/(Datos!U16+Datos!AM16))
     ),IF(D_I="SI",(Datos!K16-Datos!U16)/Datos!U16,(Datos!K16+Datos!AE16-(Datos!U16+Datos!AM16))/(Datos!U16+Datos!AM16))," - ")</f>
        <v>-5.6223342380767739E-2</v>
      </c>
      <c r="E16" s="473">
        <f>IF(ISNUMBER(
   IF(D_I="SI",(Datos!L16-Datos!V16)/Datos!V16,(Datos!L16+Datos!AF16-(Datos!V16+Datos!AN16))/(Datos!V16+Datos!AN16))
     ),IF(D_I="SI",(Datos!L16-Datos!V16)/Datos!V16,(Datos!L16+Datos!AF16-(Datos!V16+Datos!AN16))/(Datos!V16+Datos!AN16))," - ")</f>
        <v>0.21834862385321102</v>
      </c>
      <c r="F16" s="473">
        <f>IF(ISNUMBER((Datos!M16-Datos!W16)/Datos!W16),(Datos!M16-Datos!W16)/Datos!W16," - ")</f>
        <v>-0.10169491525423729</v>
      </c>
      <c r="G16" s="474">
        <f>IF(ISNUMBER((Datos!N16-Datos!X16)/Datos!X16),(Datos!N16-Datos!X16)/Datos!X16," - ")</f>
        <v>-5.5841293166789124E-2</v>
      </c>
      <c r="H16" s="472">
        <f>IF(ISNUMBER(((NºAsuntos!G16/NºAsuntos!E16)-Datos!BD16)/Datos!BD16),((NºAsuntos!G16/NºAsuntos!E16)-Datos!BD16)/Datos!BD16," - ")</f>
        <v>-8.9056701169221972E-2</v>
      </c>
      <c r="I16" s="473">
        <f>IF(ISNUMBER(((NºAsuntos!I16/NºAsuntos!G16)-Datos!BE16)/Datos!BE16),((NºAsuntos!I16/NºAsuntos!G16)-Datos!BE16)/Datos!BE16," - ")</f>
        <v>0.29092896504413784</v>
      </c>
      <c r="J16" s="478">
        <f>IF(ISNUMBER((('Resol  Asuntos'!D16/NºAsuntos!G16)-Datos!BF16)/Datos!BF16),(('Resol  Asuntos'!D16/NºAsuntos!G16)-Datos!BF16)/Datos!BF16," - ")</f>
        <v>-4.8180438143252964E-2</v>
      </c>
      <c r="K16" s="479">
        <f>IF(ISNUMBER((((NºAsuntos!C16+NºAsuntos!E16)/NºAsuntos!G16)-Datos!BG16)/Datos!BG16),(((NºAsuntos!C16+NºAsuntos!E16)/NºAsuntos!G16)-Datos!BG16)/Datos!BG16," - ")</f>
        <v>0.12889598288323942</v>
      </c>
    </row>
    <row r="17" spans="1:12">
      <c r="A17" s="414" t="str">
        <f>Datos!A17</f>
        <v xml:space="preserve">Jdos. 1ª Instª. e Instr.                        </v>
      </c>
      <c r="B17" s="472" t="str">
        <f>IF(ISNUMBER(
   IF(D_I="SI",(Datos!I17-Datos!S17)/Datos!S17,(Datos!I17+Datos!AC17-(Datos!S17+Datos!AK17))/(Datos!S17+Datos!AK17))
     ),IF(D_I="SI",(Datos!I17-Datos!S17)/Datos!S17,(Datos!I17+Datos!AC17-(Datos!S17+Datos!AK17))/(Datos!S17+Datos!AK17))," - ")</f>
        <v xml:space="preserve"> - </v>
      </c>
      <c r="C17" s="473" t="str">
        <f>IF(ISNUMBER(
   IF(D_I="SI",(Datos!J17-Datos!T17)/Datos!T17,(Datos!J17+Datos!AD17-(Datos!T17+Datos!AL17))/(Datos!T17+Datos!AL17))
     ),IF(D_I="SI",(Datos!J17-Datos!T17)/Datos!T17,(Datos!J17+Datos!AD17-(Datos!T17+Datos!AL17))/(Datos!T17+Datos!AL17))," - ")</f>
        <v xml:space="preserve"> - </v>
      </c>
      <c r="D17" s="473" t="str">
        <f>IF(ISNUMBER(
   IF(D_I="SI",(Datos!K17-Datos!U17)/Datos!U17,(Datos!K17+Datos!AE17-(Datos!U17+Datos!AM17))/(Datos!U17+Datos!AM17))
     ),IF(D_I="SI",(Datos!K17-Datos!U17)/Datos!U17,(Datos!K17+Datos!AE17-(Datos!U17+Datos!AM17))/(Datos!U17+Datos!AM17))," - ")</f>
        <v xml:space="preserve"> - </v>
      </c>
      <c r="E17" s="473" t="str">
        <f>IF(ISNUMBER(
   IF(D_I="SI",(Datos!L17-Datos!V17)/Datos!V17,(Datos!L17+Datos!AF17-(Datos!V17+Datos!AN17))/(Datos!V17+Datos!AN17))
     ),IF(D_I="SI",(Datos!L17-Datos!V17)/Datos!V17,(Datos!L17+Datos!AF17-(Datos!V17+Datos!AN17))/(Datos!V17+Datos!AN17))," - ")</f>
        <v xml:space="preserve"> - </v>
      </c>
      <c r="F17" s="473" t="str">
        <f>IF(ISNUMBER((Datos!M17-Datos!W17)/Datos!W17),(Datos!M17-Datos!W17)/Datos!W17," - ")</f>
        <v xml:space="preserve"> - </v>
      </c>
      <c r="G17" s="474" t="str">
        <f>IF(ISNUMBER((Datos!N17-Datos!X17)/Datos!X17),(Datos!N17-Datos!X17)/Datos!X17," - ")</f>
        <v xml:space="preserve"> - </v>
      </c>
      <c r="H17" s="472" t="str">
        <f>IF(ISNUMBER(((NºAsuntos!G17/NºAsuntos!E17)-Datos!BD17)/Datos!BD17),((NºAsuntos!G17/NºAsuntos!E17)-Datos!BD17)/Datos!BD17," - ")</f>
        <v xml:space="preserve"> - </v>
      </c>
      <c r="I17" s="473" t="str">
        <f>IF(ISNUMBER(((NºAsuntos!I17/NºAsuntos!G17)-Datos!BE17)/Datos!BE17),((NºAsuntos!I17/NºAsuntos!G17)-Datos!BE17)/Datos!BE17," - ")</f>
        <v xml:space="preserve"> - </v>
      </c>
      <c r="J17" s="478" t="str">
        <f>IF(ISNUMBER((('Resol  Asuntos'!D17/NºAsuntos!G17)-Datos!BF17)/Datos!BF17),(('Resol  Asuntos'!D17/NºAsuntos!G17)-Datos!BF17)/Datos!BF17," - ")</f>
        <v xml:space="preserve"> - </v>
      </c>
      <c r="K17" s="479" t="str">
        <f>IF(ISNUMBER((((NºAsuntos!C17+NºAsuntos!E17)/NºAsuntos!G17)-Datos!BG17)/Datos!BG17),(((NºAsuntos!C17+NºAsuntos!E17)/NºAsuntos!G17)-Datos!BG17)/Datos!BG17," - ")</f>
        <v xml:space="preserve"> - </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-0.11392405063291139</v>
      </c>
      <c r="C18" s="473">
        <f>IF(ISNUMBER(
   IF(D_I="SI",(Datos!J18-Datos!T18)/Datos!T18,(Datos!J18+Datos!AD18-(Datos!T18+Datos!AL18))/(Datos!T18+Datos!AL18))
     ),IF(D_I="SI",(Datos!J18-Datos!T18)/Datos!T18,(Datos!J18+Datos!AD18-(Datos!T18+Datos!AL18))/(Datos!T18+Datos!AL18))," - ")</f>
        <v>0.26851851851851855</v>
      </c>
      <c r="D18" s="473">
        <f>IF(ISNUMBER(
   IF(D_I="SI",(Datos!K18-Datos!U18)/Datos!U18,(Datos!K18+Datos!AE18-(Datos!U18+Datos!AM18))/(Datos!U18+Datos!AM18))
     ),IF(D_I="SI",(Datos!K18-Datos!U18)/Datos!U18,(Datos!K18+Datos!AE18-(Datos!U18+Datos!AM18))/(Datos!U18+Datos!AM18))," - ")</f>
        <v>0.24855491329479767</v>
      </c>
      <c r="E18" s="473">
        <f>IF(ISNUMBER(
   IF(D_I="SI",(Datos!L18-Datos!V18)/Datos!V18,(Datos!L18+Datos!AF18-(Datos!V18+Datos!AN18))/(Datos!V18+Datos!AN18))
     ),IF(D_I="SI",(Datos!L18-Datos!V18)/Datos!V18,(Datos!L18+Datos!AF18-(Datos!V18+Datos!AN18))/(Datos!V18+Datos!AN18))," - ")</f>
        <v>-0.10169491525423729</v>
      </c>
      <c r="F18" s="473">
        <f>IF(ISNUMBER((Datos!M18-Datos!W18)/Datos!W18),(Datos!M18-Datos!W18)/Datos!W18," - ")</f>
        <v>0.10526315789473684</v>
      </c>
      <c r="G18" s="474">
        <f>IF(ISNUMBER((Datos!N18-Datos!X18)/Datos!X18),(Datos!N18-Datos!X18)/Datos!X18," - ")</f>
        <v>0.19101123595505617</v>
      </c>
      <c r="H18" s="472">
        <f>IF(ISNUMBER(((NºAsuntos!G18/NºAsuntos!E18)-Datos!BD18)/Datos!BD18),((NºAsuntos!G18/NºAsuntos!E18)-Datos!BD18)/Datos!BD18," - ")</f>
        <v>-1.5737732585123017E-2</v>
      </c>
      <c r="I18" s="473">
        <f>IF(ISNUMBER(((NºAsuntos!I18/NºAsuntos!G18)-Datos!BE18)/Datos!BE18),((NºAsuntos!I18/NºAsuntos!G18)-Datos!BE18)/Datos!BE18," - ")</f>
        <v>-0.2805241682360326</v>
      </c>
      <c r="J18" s="478">
        <f>IF(ISNUMBER((('Resol  Asuntos'!D18/NºAsuntos!G18)-Datos!BF18)/Datos!BF18),(('Resol  Asuntos'!D18/NºAsuntos!G18)-Datos!BF18)/Datos!BF18," - ")</f>
        <v>-0.11476608187134502</v>
      </c>
      <c r="K18" s="479">
        <f>IF(ISNUMBER((((NºAsuntos!C18+NºAsuntos!E18)/NºAsuntos!G18)-Datos!BG18)/Datos!BG18),(((NºAsuntos!C18+NºAsuntos!E18)/NºAsuntos!G18)-Datos!BG18)/Datos!BG18," - ")</f>
        <v>-4.4056152927120805E-2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0.11336032388663968</v>
      </c>
      <c r="C20" s="1002">
        <f>IF(ISNUMBER(
   IF(Criterios!B14="SI",(Datos!J20-Datos!T20)/Datos!T20,(Datos!J20+Datos!AD20-(Datos!T20+Datos!AL20))/(Datos!T20+Datos!AL20))
     ),IF(Criterios!B14="SI",(Datos!J20-Datos!T20)/Datos!T20,(Datos!J20+Datos!AD20-(Datos!T20+Datos!AL20))/(Datos!T20+Datos!AL20))," - ")</f>
        <v>6.2743707904998225E-2</v>
      </c>
      <c r="D20" s="1002">
        <f>IF(ISNUMBER(
   IF(Criterios!B14="SI",(Datos!K20-Datos!U20)/Datos!U20,(Datos!K20+Datos!AE20-(Datos!U20+Datos!AM20))/(Datos!U20+Datos!AM20))
     ),IF(Criterios!B14="SI",(Datos!K20-Datos!U20)/Datos!U20,(Datos!K20+Datos!AE20-(Datos!U20+Datos!AM20))/(Datos!U20+Datos!AM20))," - ")</f>
        <v>-2.017094017094017E-2</v>
      </c>
      <c r="E20" s="1002">
        <f>IF(ISNUMBER(
   IF(Criterios!B14="SI",(Datos!L20-Datos!V20)/Datos!V20,(Datos!L20+Datos!AF20-(Datos!V20+Datos!AN20))/(Datos!V20+Datos!AN20))
     ),IF(Criterios!B14="SI",(Datos!L20-Datos!V20)/Datos!V20,(Datos!L20+Datos!AF20-(Datos!V20+Datos!AN20))/(Datos!V20+Datos!AN20))," - ")</f>
        <v>0.20191470844212359</v>
      </c>
      <c r="F20" s="1003">
        <f>IF(ISNUMBER((Datos!M20-Datos!W20)/Datos!W20),(Datos!M20-Datos!W20)/Datos!W20," - ")</f>
        <v>-9.0247452692867547E-2</v>
      </c>
      <c r="G20" s="1004">
        <f>IF(ISNUMBER((Datos!N20-Datos!X20)/Datos!X20),(Datos!N20-Datos!X20)/Datos!X20," - ")</f>
        <v>-2.7290448343079921E-2</v>
      </c>
      <c r="H20" s="1004">
        <f>IF(ISNUMBER(((NºAsuntos!G20/NºAsuntos!E20)-Datos!BD20)/Datos!BD20),((NºAsuntos!G20/NºAsuntos!E20)-Datos!BD20)/Datos!BD20," - ")</f>
        <v>-7.8019420354310365E-2</v>
      </c>
      <c r="I20" s="1004">
        <f>IF(ISNUMBER(((NºAsuntos!I20/NºAsuntos!G20)-Datos!BE20)/Datos!BE20),((NºAsuntos!I20/NºAsuntos!G20)-Datos!BE20)/Datos!BE20," - ")</f>
        <v>0.22665754438004584</v>
      </c>
      <c r="J20" s="1004">
        <f>IF(ISNUMBER((('Resol  Asuntos'!D20/NºAsuntos!G20)-Datos!BF20)/Datos!BF20),(('Resol  Asuntos'!D20/NºAsuntos!G20)-Datos!BF20)/Datos!BF20," - ")</f>
        <v>-7.151912042101799E-2</v>
      </c>
      <c r="K20" s="1004">
        <f>IF(ISNUMBER((((NºAsuntos!C20+NºAsuntos!E20)/NºAsuntos!G20)-Datos!BG20)/Datos!BG20),(((NºAsuntos!C20+NºAsuntos!E20)/NºAsuntos!G20)-Datos!BG20)/Datos!BG20," - ")</f>
        <v>0.10035093134360396</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2.3579936796045701E-2</v>
      </c>
      <c r="C21" s="949">
        <f>IF(ISNUMBER(
   IF(J_V="SI",(Datos!J21-Datos!T21)/Datos!T21,(Datos!J21+Datos!Z21-(Datos!T21+Datos!AH21))/(Datos!T21+Datos!AH21))
     ),IF(J_V="SI",(Datos!J21-Datos!T21)/Datos!T21,(Datos!J21+Datos!Z21-(Datos!T21+Datos!AH21))/(Datos!T21+Datos!AH21))," - ")</f>
        <v>-0.36494538232373386</v>
      </c>
      <c r="D21" s="949">
        <f>IF(ISNUMBER(
   IF(J_V="SI",(Datos!K21-Datos!U21)/Datos!U21,(Datos!K21+Datos!AA21-(Datos!U21+Datos!AI21))/(Datos!U21+Datos!AI21))
     ),IF(J_V="SI",(Datos!K21-Datos!U21)/Datos!U21,(Datos!K21+Datos!AA21-(Datos!U21+Datos!AI21))/(Datos!U21+Datos!AI21))," - ")</f>
        <v>-0.27699189940756863</v>
      </c>
      <c r="E21" s="949">
        <f>IF(ISNUMBER(
   IF(J_V="SI",(Datos!L21-Datos!V21)/Datos!V21,(Datos!L21+Datos!AB21-(Datos!V21+Datos!AJ21))/(Datos!V21+Datos!AJ21))
     ),IF(J_V="SI",(Datos!L21-Datos!V21)/Datos!V21,(Datos!L21+Datos!AB21-(Datos!V21+Datos!AJ21))/(Datos!V21+Datos!AJ21))," - ")</f>
        <v>-6.5192465192465188E-2</v>
      </c>
      <c r="F21" s="950">
        <f>IF(ISNUMBER((Datos!M21-Datos!W21)/Datos!W21),(Datos!M21-Datos!W21)/Datos!W21," - ")</f>
        <v>-0.21128500823723229</v>
      </c>
      <c r="G21" s="951">
        <f>IF(ISNUMBER((Datos!N21-Datos!X21)/Datos!X21),(Datos!N21-Datos!X21)/Datos!X21," - ")</f>
        <v>-0.20929526123936817</v>
      </c>
      <c r="H21" s="952">
        <f>IF(ISNUMBER((Tasas!B21-Datos!BD21)/Datos!BD21),(Tasas!B21-Datos!BD21)/Datos!BD21," - ")</f>
        <v>0.13849750945516554</v>
      </c>
      <c r="I21" s="953">
        <f>IF(ISNUMBER((Tasas!C21-Datos!BE21)/Datos!BE21),(Tasas!C21-Datos!BE21)/Datos!BE21," - ")</f>
        <v>0.29294199337677601</v>
      </c>
      <c r="J21" s="954">
        <f>IF(ISNUMBER((Tasas!D21-Datos!BF21)/Datos!BF21),(Tasas!D21-Datos!BF21)/Datos!BF21," - ")</f>
        <v>8.1084226332673565E-2</v>
      </c>
      <c r="K21" s="954">
        <f>IF(ISNUMBER((Tasas!E21-Datos!BG21)/Datos!BG21),(Tasas!E21-Datos!BG21)/Datos!BG21," - ")</f>
        <v>0.20348300286142793</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vpodB/iPv/f2sx0Tzf3iqFABr1/EjShhSoGfW+5UCvwZaDehCT8fXwwpp0/IRJFV9P5MF11IACTxbfE7zIkydw==" saltValue="RqX0r6TySRhuK4Zk0uS+Sg=="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CANTABRIA</v>
      </c>
    </row>
    <row r="3" spans="1:7" ht="19.5">
      <c r="A3" s="453" t="s">
        <v>12</v>
      </c>
      <c r="B3" s="403" t="str">
        <f>Criterios!A10 &amp;"  "&amp;Criterios!B10</f>
        <v>Provincias  CANTABRIA</v>
      </c>
    </row>
    <row r="4" spans="1:7" ht="11.25" customHeight="1" thickBot="1">
      <c r="B4" s="403" t="str">
        <f>Criterios!A11 &amp;"  "&amp;Criterios!B11</f>
        <v>Resumenes por Partidos Judiciales  SANTANDER</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f>IF(ISNUMBER(NºAsuntos!G9/NºAsuntos!E9),NºAsuntos!G9/NºAsuntos!E9," - ")</f>
        <v>1.7149501661129569</v>
      </c>
      <c r="C9" s="460">
        <f>IF(ISNUMBER(NºAsuntos!I9/NºAsuntos!G9),NºAsuntos!I9/NºAsuntos!G9," - ")</f>
        <v>3.4742347927160013</v>
      </c>
      <c r="D9" s="461">
        <f>IF(ISNUMBER('Resol  Asuntos'!D9/NºAsuntos!G9),'Resol  Asuntos'!D9/NºAsuntos!G9," - ")</f>
        <v>0.45370011623401785</v>
      </c>
      <c r="E9" s="462">
        <f>IF(ISNUMBER((NºAsuntos!C9+NºAsuntos!E9)/NºAsuntos!G9),(NºAsuntos!C9+NºAsuntos!E9)/NºAsuntos!G9," - ")</f>
        <v>4.4738473459899266</v>
      </c>
      <c r="G9" s="480"/>
    </row>
    <row r="10" spans="1:7">
      <c r="A10" s="414" t="str">
        <f>Datos!A10</f>
        <v>Jdos. Violencia contra la mujer</v>
      </c>
      <c r="B10" s="459">
        <f>IF(ISNUMBER(NºAsuntos!G10/NºAsuntos!E10),NºAsuntos!G10/NºAsuntos!E10," - ")</f>
        <v>1</v>
      </c>
      <c r="C10" s="460">
        <f>IF(ISNUMBER(NºAsuntos!I10/NºAsuntos!G10),NºAsuntos!I10/NºAsuntos!G10," - ")</f>
        <v>0.90243902439024393</v>
      </c>
      <c r="D10" s="461">
        <f>IF(ISNUMBER('Resol  Asuntos'!D10/NºAsuntos!G10),'Resol  Asuntos'!D10/NºAsuntos!G10," - ")</f>
        <v>0.48780487804878048</v>
      </c>
      <c r="E10" s="462">
        <f>IF(ISNUMBER((NºAsuntos!C10+NºAsuntos!E10)/NºAsuntos!G10),(NºAsuntos!C10+NºAsuntos!E10)/NºAsuntos!G10," - ")</f>
        <v>1.9024390243902438</v>
      </c>
      <c r="G10" s="480"/>
    </row>
    <row r="11" spans="1:7">
      <c r="A11" s="414" t="str">
        <f>Datos!A11</f>
        <v xml:space="preserve">Jdos. Familia                                   </v>
      </c>
      <c r="B11" s="459">
        <f>IF(ISNUMBER(NºAsuntos!G11/NºAsuntos!E11),NºAsuntos!G11/NºAsuntos!E11," - ")</f>
        <v>0.8601398601398601</v>
      </c>
      <c r="C11" s="460">
        <f>IF(ISNUMBER(NºAsuntos!I11/NºAsuntos!G11),NºAsuntos!I11/NºAsuntos!G11," - ")</f>
        <v>2.0914634146341462</v>
      </c>
      <c r="D11" s="461">
        <f>IF(ISNUMBER('Resol  Asuntos'!D11/NºAsuntos!G11),'Resol  Asuntos'!D11/NºAsuntos!G11," - ")</f>
        <v>0.20121951219512196</v>
      </c>
      <c r="E11" s="462">
        <f>IF(ISNUMBER((NºAsuntos!C11+NºAsuntos!E11)/NºAsuntos!G11),(NºAsuntos!C11+NºAsuntos!E11)/NºAsuntos!G11," - ")</f>
        <v>3.5569105691056913</v>
      </c>
      <c r="G11" s="480"/>
    </row>
    <row r="12" spans="1:7">
      <c r="A12" s="414" t="str">
        <f>Datos!A12</f>
        <v xml:space="preserve">Jdos. 1ª Instª. e Instr.                        </v>
      </c>
      <c r="B12" s="459" t="str">
        <f>IF(ISNUMBER(NºAsuntos!G12/NºAsuntos!E12),NºAsuntos!G12/NºAsuntos!E12," - ")</f>
        <v xml:space="preserve"> - </v>
      </c>
      <c r="C12" s="460" t="str">
        <f>IF(ISNUMBER(NºAsuntos!I12/NºAsuntos!G12),NºAsuntos!I12/NºAsuntos!G12," - ")</f>
        <v xml:space="preserve"> - </v>
      </c>
      <c r="D12" s="461" t="str">
        <f>IF(ISNUMBER('Resol  Asuntos'!D12/NºAsuntos!G12),'Resol  Asuntos'!D12/NºAsuntos!G12," - ")</f>
        <v xml:space="preserve"> - </v>
      </c>
      <c r="E12" s="462" t="str">
        <f>IF(ISNUMBER((NºAsuntos!C12+NºAsuntos!E12)/NºAsuntos!G12),(NºAsuntos!C12+NºAsuntos!E12)/NºAsuntos!G12," - ")</f>
        <v xml:space="preserve"> - </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1.4702549575070822</v>
      </c>
      <c r="C14" s="1006">
        <f>IF(ISNUMBER(NºAsuntos!I14/NºAsuntos!G14),NºAsuntos!I14/NºAsuntos!G14," - ")</f>
        <v>3.2219010918432884</v>
      </c>
      <c r="D14" s="1007">
        <f>IF(ISNUMBER('Resol  Asuntos'!D14/NºAsuntos!G14),'Resol  Asuntos'!D14/NºAsuntos!G14," - ")</f>
        <v>0.41425818882466281</v>
      </c>
      <c r="E14" s="1008">
        <f>IF(ISNUMBER((NºAsuntos!C14+NºAsuntos!E14)/NºAsuntos!G14),(NºAsuntos!C14+NºAsuntos!E14)/NºAsuntos!G14," - ")</f>
        <v>4.2951188182402058</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f>IF(ISNUMBER(NºAsuntos!G16/NºAsuntos!E16),NºAsuntos!G16/NºAsuntos!E16," - ")</f>
        <v>0.94085813683803632</v>
      </c>
      <c r="C16" s="460">
        <f>IF(ISNUMBER(NºAsuntos!I16/NºAsuntos!G16),NºAsuntos!I16/NºAsuntos!G16," - ")</f>
        <v>0.54560394412489732</v>
      </c>
      <c r="D16" s="461">
        <f>IF(ISNUMBER('Resol  Asuntos'!D16/NºAsuntos!G16),'Resol  Asuntos'!D16/NºAsuntos!G16," - ")</f>
        <v>0.23952341824157766</v>
      </c>
      <c r="E16" s="462">
        <f>IF(ISNUMBER((NºAsuntos!C16+NºAsuntos!E16)/NºAsuntos!G16),(NºAsuntos!C16+NºAsuntos!E16)/NºAsuntos!G16," - ")</f>
        <v>1.5990139687756779</v>
      </c>
      <c r="G16" s="480"/>
    </row>
    <row r="17" spans="1:7">
      <c r="A17" s="414" t="str">
        <f>Datos!A17</f>
        <v xml:space="preserve">Jdos. 1ª Instª. e Instr.                        </v>
      </c>
      <c r="B17" s="459" t="str">
        <f>IF(ISNUMBER(NºAsuntos!G17/NºAsuntos!E17),NºAsuntos!G17/NºAsuntos!E17," - ")</f>
        <v xml:space="preserve"> - </v>
      </c>
      <c r="C17" s="460" t="str">
        <f>IF(ISNUMBER(NºAsuntos!I17/NºAsuntos!G17),NºAsuntos!I17/NºAsuntos!G17," - ")</f>
        <v xml:space="preserve"> - </v>
      </c>
      <c r="D17" s="461" t="str">
        <f>IF(ISNUMBER('Resol  Asuntos'!D17/NºAsuntos!G17),'Resol  Asuntos'!D17/NºAsuntos!G17," - ")</f>
        <v xml:space="preserve"> - </v>
      </c>
      <c r="E17" s="462" t="str">
        <f>IF(ISNUMBER((NºAsuntos!C17+NºAsuntos!E17)/NºAsuntos!G17),(NºAsuntos!C17+NºAsuntos!E17)/NºAsuntos!G17," - ")</f>
        <v xml:space="preserve"> - </v>
      </c>
      <c r="G17" s="480"/>
    </row>
    <row r="18" spans="1:7">
      <c r="A18" s="414" t="str">
        <f>Datos!A18</f>
        <v>Jdos. Violencia contra la mujer</v>
      </c>
      <c r="B18" s="459">
        <f>IF(ISNUMBER(NºAsuntos!G18/NºAsuntos!E18),NºAsuntos!G18/NºAsuntos!E18," - ")</f>
        <v>1.051094890510949</v>
      </c>
      <c r="C18" s="460">
        <f>IF(ISNUMBER(NºAsuntos!I18/NºAsuntos!G18),NºAsuntos!I18/NºAsuntos!G18," - ")</f>
        <v>0.12268518518518519</v>
      </c>
      <c r="D18" s="461">
        <f>IF(ISNUMBER('Resol  Asuntos'!D18/NºAsuntos!G18),'Resol  Asuntos'!D18/NºAsuntos!G18," - ")</f>
        <v>9.7222222222222224E-2</v>
      </c>
      <c r="E18" s="462">
        <f>IF(ISNUMBER((NºAsuntos!C18+NºAsuntos!E18)/NºAsuntos!G18),(NºAsuntos!C18+NºAsuntos!E18)/NºAsuntos!G18," - ")</f>
        <v>1.1134259259259258</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0.95597064709806534</v>
      </c>
      <c r="C20" s="1006">
        <f>IF(ISNUMBER(NºAsuntos!I20/NºAsuntos!G20),NºAsuntos!I20/NºAsuntos!G20," - ")</f>
        <v>0.48185624563852059</v>
      </c>
      <c r="D20" s="1009">
        <f>IF(ISNUMBER('Resol  Asuntos'!D20/NºAsuntos!G20),'Resol  Asuntos'!D20/NºAsuntos!G20," - ")</f>
        <v>0.21807397069085835</v>
      </c>
      <c r="E20" s="1008">
        <f>IF(ISNUMBER((NºAsuntos!C20+NºAsuntos!E20)/NºAsuntos!G20),(NºAsuntos!C20+NºAsuntos!E20)/NºAsuntos!G20," - ")</f>
        <v>1.5258199581297975</v>
      </c>
      <c r="G20" s="480"/>
    </row>
    <row r="21" spans="1:7" ht="15.75" customHeight="1" thickTop="1" thickBot="1">
      <c r="A21" s="940" t="str">
        <f>Datos!A21</f>
        <v>TOTAL JURISDICCIONES</v>
      </c>
      <c r="B21" s="955">
        <f>IF(ISNUMBER(NºAsuntos!G21/NºAsuntos!E21),NºAsuntos!G21/NºAsuntos!E21," - ")</f>
        <v>1.1688819390148553</v>
      </c>
      <c r="C21" s="956">
        <f>IF(ISNUMBER(NºAsuntos!I21/NºAsuntos!G21),NºAsuntos!I21/NºAsuntos!G21," - ")</f>
        <v>1.9086956521739131</v>
      </c>
      <c r="D21" s="957">
        <f>IF(ISNUMBER('Resol  Asuntos'!D21/NºAsuntos!G21),'Resol  Asuntos'!D21/NºAsuntos!G21," - ")</f>
        <v>0.32023411371237459</v>
      </c>
      <c r="E21" s="958">
        <f>IF(ISNUMBER((NºAsuntos!C21+NºAsuntos!E21)/NºAsuntos!G21),(NºAsuntos!C21+NºAsuntos!E21)/NºAsuntos!G21," - ")</f>
        <v>2.9678929765886286</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UMYWgVtIftldZug9FuR1kc84a4mQYHpIFQ0nCPOY3TOYhM33JRAcH2+SfWOliJYwSao+QNbrD3tAS/vIWQaaZg==" saltValue="HeFdpK5aXA9HAxCMDRtYTg=="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CANTABRIA</v>
      </c>
      <c r="G2" s="340"/>
      <c r="H2" s="339"/>
      <c r="I2" s="339"/>
      <c r="J2" s="339"/>
      <c r="K2" s="339"/>
      <c r="L2" s="339" t="str">
        <f>Criterios!A10 &amp;"  "&amp;Criterios!B10</f>
        <v>Provincias  CANTABRIA</v>
      </c>
      <c r="N2" s="339" t="str">
        <f>Criterios!A11 &amp;"  "&amp;Criterios!B11</f>
        <v>Resumenes por Partidos Judiciales  SANTANDER</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10</v>
      </c>
      <c r="B9" s="182" t="s">
        <v>273</v>
      </c>
      <c r="C9" s="165" t="str">
        <f>Datos!A9</f>
        <v xml:space="preserve">Jdos. 1ª Instancia   </v>
      </c>
      <c r="D9" s="165"/>
      <c r="E9" s="1205">
        <f>IF(ISNUMBER(Datos!AQ9),Datos!AQ9," - ")</f>
        <v>10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567</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f>IF(ISNUMBER(Datos!Q9),Datos!Q9," - ")</f>
        <v>898</v>
      </c>
      <c r="Y9" s="344">
        <f>SUM(W9:X9)</f>
        <v>898</v>
      </c>
      <c r="Z9" s="345" t="str">
        <f>IF(ISNUMBER(Datos!CC9),Datos!CC9," - ")</f>
        <v xml:space="preserve"> - </v>
      </c>
      <c r="AA9" s="342" t="str">
        <f>IF(ISNUMBER(IF(J_V="SI",Datos!L9,Datos!L9+Datos!AB9)-IF(Monitorios="SI",Datos!CD9,0)),
                          IF(J_V="SI",Datos!L9,Datos!L9+Datos!AB9)-IF(Monitorios="SI",Datos!CD9,0),
                          " - ")</f>
        <v xml:space="preserve"> - </v>
      </c>
      <c r="AB9" s="344">
        <f>IF(ISNUMBER(Datos!R9),Datos!R9," - ")</f>
        <v>7814</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f>IF(ISNUMBER(Datos!M9),Datos!M9," - ")</f>
        <v>1171</v>
      </c>
      <c r="AJ9" s="234" t="str">
        <f>IF(ISNUMBER(Datos!BW9),Datos!BW9," - ")</f>
        <v xml:space="preserve"> - </v>
      </c>
      <c r="AK9" s="233" t="str">
        <f>IF(ISNUMBER(Datos!BX9),Datos!BX9," - ")</f>
        <v xml:space="preserve"> - </v>
      </c>
      <c r="AL9" s="248">
        <f>IF(ISNUMBER(NºAsuntos!G9/NºAsuntos!E9),NºAsuntos!G9/NºAsuntos!E9," - ")</f>
        <v>1.7149501661129569</v>
      </c>
      <c r="AM9" s="265">
        <f>IF(ISNUMBER(((NºAsuntos!I9/NºAsuntos!G9)*11)/factor_trimestre),((NºAsuntos!I9/NºAsuntos!G9)*11)/factor_trimestre," - ")</f>
        <v>10.422704378148005</v>
      </c>
      <c r="AN9" s="249">
        <f>IF(ISNUMBER('Resol  Asuntos'!D9/NºAsuntos!G9),'Resol  Asuntos'!D9/NºAsuntos!G9," - ")</f>
        <v>0.45370011623401785</v>
      </c>
      <c r="AO9" s="250">
        <f>IF(ISNUMBER((NºAsuntos!C9+NºAsuntos!E9)/NºAsuntos!G9),(NºAsuntos!C9+NºAsuntos!E9)/NºAsuntos!G9," - ")</f>
        <v>4.4738473459899266</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1</v>
      </c>
      <c r="F10" s="230">
        <f>IF(ISNUMBER(Datos!L10+Datos!K10-Datos!J10-K10),Datos!L10+Datos!K10-Datos!J10-K10," - ")</f>
        <v>37</v>
      </c>
      <c r="G10" s="343">
        <f>IF(ISNUMBER(Datos!I10),Datos!I10," - ")</f>
        <v>37</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11</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41</v>
      </c>
      <c r="X10" s="231">
        <f>IF(ISNUMBER(Datos!Q10),Datos!Q10," - ")</f>
        <v>4</v>
      </c>
      <c r="Y10" s="344">
        <f t="shared" ref="Y10:Y13" si="0">SUM(W10:X10)</f>
        <v>45</v>
      </c>
      <c r="Z10" s="345" t="str">
        <f>IF(ISNUMBER(Datos!CC10),Datos!CC10," - ")</f>
        <v xml:space="preserve"> - </v>
      </c>
      <c r="AA10" s="342">
        <f>IF(ISNUMBER(Datos!L10),Datos!L10,"-")</f>
        <v>37</v>
      </c>
      <c r="AB10" s="344">
        <f>IF(ISNUMBER(Datos!R10),Datos!R10," - ")</f>
        <v>77</v>
      </c>
      <c r="AC10" s="344">
        <f t="shared" ref="AC10:AC13" si="1">IF(ISNUMBER(AA10+AB10),AA10+AB10," - ")</f>
        <v>114</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20</v>
      </c>
      <c r="AJ10" s="236" t="str">
        <f>IF(ISNUMBER(Datos!BW10),Datos!BW10," - ")</f>
        <v xml:space="preserve"> - </v>
      </c>
      <c r="AK10" s="237" t="str">
        <f>IF(ISNUMBER(Datos!BX10),Datos!BX10," - ")</f>
        <v xml:space="preserve"> - </v>
      </c>
      <c r="AL10" s="248">
        <f>IF(ISNUMBER(NºAsuntos!G10/NºAsuntos!E10),NºAsuntos!G10/NºAsuntos!E10," - ")</f>
        <v>1</v>
      </c>
      <c r="AM10" s="265">
        <f>IF(ISNUMBER(((NºAsuntos!I10/NºAsuntos!G10)*11)/factor_trimestre),((NºAsuntos!I10/NºAsuntos!G10)*11)/factor_trimestre," - ")</f>
        <v>2.7073170731707319</v>
      </c>
      <c r="AN10" s="249">
        <f>IF(ISNUMBER('Resol  Asuntos'!D10/NºAsuntos!G10),'Resol  Asuntos'!D10/NºAsuntos!G10," - ")</f>
        <v>0.48780487804878048</v>
      </c>
      <c r="AO10" s="250">
        <f>IF(ISNUMBER((NºAsuntos!C10+NºAsuntos!E10)/NºAsuntos!G10),(NºAsuntos!C10+NºAsuntos!E10)/NºAsuntos!G10," - ")</f>
        <v>1.9024390243902438</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2</v>
      </c>
      <c r="B11" s="280" t="s">
        <v>273</v>
      </c>
      <c r="C11" s="7" t="str">
        <f>Datos!A11</f>
        <v xml:space="preserve">Jdos. Familia                                   </v>
      </c>
      <c r="D11" s="7"/>
      <c r="E11" s="1205">
        <f>IF(ISNUMBER(Datos!AQ11),Datos!AQ11," - ")</f>
        <v>2</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66</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f>IF(ISNUMBER(Datos!Q11),Datos!Q11," - ")</f>
        <v>75</v>
      </c>
      <c r="Y11" s="344">
        <f t="shared" si="0"/>
        <v>75</v>
      </c>
      <c r="Z11" s="345" t="str">
        <f>IF(ISNUMBER(Datos!CC11),Datos!CC11," - ")</f>
        <v xml:space="preserve"> - </v>
      </c>
      <c r="AA11" s="342" t="str">
        <f>IF(ISNUMBER(IF(J_V="SI",Datos!L11,Datos!L11+Datos!AB11)-IF(Monitorios="SI",Datos!CD11,0)),
                          IF(J_V="SI",Datos!L11,Datos!L11+Datos!AB11)-IF(Monitorios="SI",Datos!CD11,0),
                          " - ")</f>
        <v xml:space="preserve"> - </v>
      </c>
      <c r="AB11" s="344">
        <f>IF(ISNUMBER(Datos!R11),Datos!R11," - ")</f>
        <v>706</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f>IF(ISNUMBER(Datos!M11),Datos!M11," - ")</f>
        <v>99</v>
      </c>
      <c r="AJ11" s="236" t="str">
        <f>IF(ISNUMBER(Datos!BW11),Datos!BW11," - ")</f>
        <v xml:space="preserve"> - </v>
      </c>
      <c r="AK11" s="237" t="str">
        <f>IF(ISNUMBER(Datos!BX11),Datos!BX11," - ")</f>
        <v xml:space="preserve"> - </v>
      </c>
      <c r="AL11" s="248">
        <f>IF(ISNUMBER(NºAsuntos!G11/NºAsuntos!E11),NºAsuntos!G11/NºAsuntos!E11," - ")</f>
        <v>0.8601398601398601</v>
      </c>
      <c r="AM11" s="265">
        <f>IF(ISNUMBER(((NºAsuntos!I11/NºAsuntos!G11)*11)/factor_trimestre),((NºAsuntos!I11/NºAsuntos!G11)*11)/factor_trimestre," - ")</f>
        <v>6.274390243902439</v>
      </c>
      <c r="AN11" s="249">
        <f>IF(ISNUMBER('Resol  Asuntos'!D11/NºAsuntos!G11),'Resol  Asuntos'!D11/NºAsuntos!G11," - ")</f>
        <v>0.20121951219512196</v>
      </c>
      <c r="AO11" s="250">
        <f>IF(ISNUMBER((NºAsuntos!C11+NºAsuntos!E11)/NºAsuntos!G11),(NºAsuntos!C11+NºAsuntos!E11)/NºAsuntos!G11," - ")</f>
        <v>3.5569105691056913</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0</v>
      </c>
      <c r="B12" s="280" t="s">
        <v>273</v>
      </c>
      <c r="C12" s="7" t="str">
        <f>Datos!A12</f>
        <v xml:space="preserve">Jdos. 1ª Instª. e Instr.                        </v>
      </c>
      <c r="D12" s="7"/>
      <c r="E12" s="1205">
        <f>IF(ISNUMBER(Datos!AQ12),Datos!AQ12," - ")</f>
        <v>0</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0</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t="str">
        <f>IF(ISNUMBER(Datos!Q12),Datos!Q12," - ")</f>
        <v xml:space="preserve"> - </v>
      </c>
      <c r="Y12" s="344">
        <f t="shared" si="0"/>
        <v>0</v>
      </c>
      <c r="Z12" s="345" t="str">
        <f>IF(ISNUMBER(Datos!CC12),Datos!CC12," - ")</f>
        <v xml:space="preserve"> - </v>
      </c>
      <c r="AA12" s="342" t="str">
        <f>IF(ISNUMBER(IF(J_V="SI",Datos!L12,Datos!L12+Datos!AB12)-IF(Monitorios="SI",Datos!CD12,0)),
                          IF(J_V="SI",Datos!L12,Datos!L12+Datos!AB12)-IF(Monitorios="SI",Datos!CD12,0),
                          " - ")</f>
        <v xml:space="preserve"> - </v>
      </c>
      <c r="AB12" s="344" t="str">
        <f>IF(ISNUMBER(Datos!R12),Datos!R12," - ")</f>
        <v xml:space="preserve"> - </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t="str">
        <f>IF(ISNUMBER(Datos!M12),Datos!M12," - ")</f>
        <v xml:space="preserve"> - </v>
      </c>
      <c r="AJ12" s="234" t="str">
        <f>IF(ISNUMBER(Datos!BW12),Datos!BW12," - ")</f>
        <v xml:space="preserve"> - </v>
      </c>
      <c r="AK12" s="233" t="str">
        <f>IF(ISNUMBER(Datos!BX12),Datos!BX12," - ")</f>
        <v xml:space="preserve"> - </v>
      </c>
      <c r="AL12" s="248" t="str">
        <f>IF(ISNUMBER(NºAsuntos!G12/NºAsuntos!E12),NºAsuntos!G12/NºAsuntos!E12," - ")</f>
        <v xml:space="preserve"> - </v>
      </c>
      <c r="AM12" s="265" t="str">
        <f>IF(ISNUMBER(((NºAsuntos!I12/NºAsuntos!G12)*11)/factor_trimestre),((NºAsuntos!I12/NºAsuntos!G12)*11)/factor_trimestre," - ")</f>
        <v xml:space="preserve"> - </v>
      </c>
      <c r="AN12" s="249" t="str">
        <f>IF(ISNUMBER('Resol  Asuntos'!D12/NºAsuntos!G12),'Resol  Asuntos'!D12/NºAsuntos!G12," - ")</f>
        <v xml:space="preserve"> - </v>
      </c>
      <c r="AO12" s="250" t="str">
        <f>IF(ISNUMBER((NºAsuntos!C12+NºAsuntos!E12)/NºAsuntos!G12),(NºAsuntos!C12+NºAsuntos!E12)/NºAsuntos!G12," - ")</f>
        <v xml:space="preserve"> - </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13</v>
      </c>
      <c r="F14" s="1012">
        <f t="shared" si="5"/>
        <v>37</v>
      </c>
      <c r="G14" s="1013">
        <f t="shared" si="5"/>
        <v>37</v>
      </c>
      <c r="H14" s="1012">
        <f t="shared" si="5"/>
        <v>0</v>
      </c>
      <c r="I14" s="1014">
        <f t="shared" si="5"/>
        <v>0</v>
      </c>
      <c r="J14" s="1014">
        <f t="shared" si="5"/>
        <v>0</v>
      </c>
      <c r="K14" s="1014">
        <f t="shared" si="5"/>
        <v>0</v>
      </c>
      <c r="L14" s="1014">
        <f t="shared" si="5"/>
        <v>644</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41</v>
      </c>
      <c r="X14" s="1014">
        <f t="shared" si="6"/>
        <v>977</v>
      </c>
      <c r="Y14" s="1015">
        <f t="shared" si="6"/>
        <v>1018</v>
      </c>
      <c r="Z14" s="1015">
        <f t="shared" si="6"/>
        <v>0</v>
      </c>
      <c r="AA14" s="1015">
        <f t="shared" si="6"/>
        <v>37</v>
      </c>
      <c r="AB14" s="1015">
        <f t="shared" si="6"/>
        <v>8597</v>
      </c>
      <c r="AC14" s="1015">
        <f t="shared" si="6"/>
        <v>114</v>
      </c>
      <c r="AD14" s="1015">
        <f t="shared" si="6"/>
        <v>0</v>
      </c>
      <c r="AE14" s="1019">
        <f t="shared" si="6"/>
        <v>0</v>
      </c>
      <c r="AF14" s="1012">
        <f t="shared" si="6"/>
        <v>0</v>
      </c>
      <c r="AG14" s="1020">
        <f t="shared" si="6"/>
        <v>0</v>
      </c>
      <c r="AH14" s="1017">
        <f t="shared" si="6"/>
        <v>0</v>
      </c>
      <c r="AI14" s="1012">
        <f t="shared" si="6"/>
        <v>1290</v>
      </c>
      <c r="AJ14" s="1014">
        <f t="shared" si="6"/>
        <v>0</v>
      </c>
      <c r="AK14" s="1017">
        <f>SUBTOTAL(9,AK9:AK13)</f>
        <v>0</v>
      </c>
      <c r="AL14" s="1021">
        <f>IF(ISNUMBER(NºAsuntos!G14/NºAsuntos!E14),NºAsuntos!G14/NºAsuntos!E14," - ")</f>
        <v>1.4702549575070822</v>
      </c>
      <c r="AM14" s="1021">
        <f>IF(ISNUMBER(((NºAsuntos!I14/NºAsuntos!G14)*11)/factor_trimestre),((NºAsuntos!I14/NºAsuntos!G14)*11)/factor_trimestre," - ")</f>
        <v>9.6657032755298662</v>
      </c>
      <c r="AN14" s="1022">
        <f>IF(ISNUMBER('Resol  Asuntos'!D14/NºAsuntos!G14),'Resol  Asuntos'!D14/NºAsuntos!G14," - ")</f>
        <v>0.41425818882466281</v>
      </c>
      <c r="AO14" s="1023">
        <f>IF(ISNUMBER((NºAsuntos!C14+NºAsuntos!E14)/NºAsuntos!G14),(NºAsuntos!C14+NºAsuntos!E14)/NºAsuntos!G14," - ")</f>
        <v>4.2951188182402058</v>
      </c>
      <c r="AP14" s="1024" t="str">
        <f t="shared" si="2"/>
        <v xml:space="preserve"> - </v>
      </c>
      <c r="AQ14" s="1024">
        <f>IF(ISNUMBER((H14-W14+K14)/(F14)),(H14-W14+K14)/(F14)," - ")</f>
        <v>-1.1081081081081081</v>
      </c>
      <c r="AR14" s="1025">
        <f>IF(ISNUMBER((Datos!P14-Datos!Q14)/(Datos!R14-Datos!P14+Datos!Q14)),(Datos!P14-Datos!Q14)/(Datos!R14-Datos!P14+Datos!Q14)," - ")</f>
        <v>-3.7290033594624863E-2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5</v>
      </c>
      <c r="B16" s="280" t="s">
        <v>437</v>
      </c>
      <c r="C16" s="165" t="str">
        <f>Datos!A16</f>
        <v xml:space="preserve">Jdos. Instrucción                               </v>
      </c>
      <c r="D16" s="165"/>
      <c r="E16" s="1205">
        <f>IF(ISNUMBER(Datos!AQ16),Datos!AQ16," - ")</f>
        <v>5</v>
      </c>
      <c r="F16" s="230">
        <f>IF(ISNUMBER(AA16+W16-Datos!J16-K16),AA16+W16-Datos!J16-K16," - ")</f>
        <v>1175</v>
      </c>
      <c r="G16" s="343">
        <f>IF(ISNUMBER(IF(D_I="SI",Datos!I16,Datos!I16+Datos!AC16)),IF(D_I="SI",Datos!I16,Datos!I16+Datos!AC16)," - ")</f>
        <v>1305</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296</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f>IF(ISNUMBER(IF(D_I="SI",Datos!K16,Datos!K16+Datos!AE16)),IF(D_I="SI",Datos!K16,Datos!K16+Datos!AE16)," - ")</f>
        <v>2434</v>
      </c>
      <c r="X16" s="231">
        <f>IF(ISNUMBER(Datos!Q16),Datos!Q16," - ")</f>
        <v>332</v>
      </c>
      <c r="Y16" s="344">
        <f>SUM(W16)</f>
        <v>2434</v>
      </c>
      <c r="Z16" s="345" t="str">
        <f>IF(ISNUMBER(Datos!CC16),Datos!CC16," - ")</f>
        <v xml:space="preserve"> - </v>
      </c>
      <c r="AA16" s="342">
        <f>IF(ISNUMBER(IF(D_I="SI",Datos!L16,Datos!L16+Datos!AF16)),IF(D_I="SI",Datos!L16,Datos!L16+Datos!AF16)," - ")</f>
        <v>1328</v>
      </c>
      <c r="AB16" s="344">
        <f>IF(ISNUMBER(Datos!R16),Datos!R16," - ")</f>
        <v>495</v>
      </c>
      <c r="AC16" s="344">
        <f t="shared" ref="AC16:AC19" si="8">IF(ISNUMBER(AA16+AB16),AA16+AB16," - ")</f>
        <v>1823</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f>IF(ISNUMBER(Datos!M16),Datos!M16," - ")</f>
        <v>583</v>
      </c>
      <c r="AJ16" s="236" t="str">
        <f>IF(ISNUMBER(Datos!BW16),Datos!BW16," - ")</f>
        <v xml:space="preserve"> - </v>
      </c>
      <c r="AK16" s="237" t="str">
        <f>IF(ISNUMBER(Datos!BX16),Datos!BX16," - ")</f>
        <v xml:space="preserve"> - </v>
      </c>
      <c r="AL16" s="248">
        <f>IF(ISNUMBER(NºAsuntos!G16/NºAsuntos!E16),NºAsuntos!G16/NºAsuntos!E16," - ")</f>
        <v>0.94085813683803632</v>
      </c>
      <c r="AM16" s="265">
        <f>IF(ISNUMBER(((NºAsuntos!I16/NºAsuntos!G16)*11)/factor_trimestre),((NºAsuntos!I16/NºAsuntos!G16)*11)/factor_trimestre," - ")</f>
        <v>1.6368118323746919</v>
      </c>
      <c r="AN16" s="249">
        <f>IF(ISNUMBER('Resol  Asuntos'!D16/NºAsuntos!G16),'Resol  Asuntos'!D16/NºAsuntos!G16," - ")</f>
        <v>0.23952341824157766</v>
      </c>
      <c r="AO16" s="250">
        <f>IF(ISNUMBER((NºAsuntos!C16+NºAsuntos!E16)/NºAsuntos!G16),(NºAsuntos!C16+NºAsuntos!E16)/NºAsuntos!G16," - ")</f>
        <v>1.5990139687756779</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0</v>
      </c>
      <c r="B17" s="280" t="s">
        <v>437</v>
      </c>
      <c r="C17" s="165" t="str">
        <f>Datos!A17</f>
        <v xml:space="preserve">Jdos. 1ª Instª. e Instr.                        </v>
      </c>
      <c r="D17" s="165"/>
      <c r="E17" s="1205">
        <f>IF(ISNUMBER(Datos!AQ17),Datos!AQ17," - ")</f>
        <v>0</v>
      </c>
      <c r="F17" s="230" t="str">
        <f>IF(ISNUMBER(AA17+W17-Datos!J17-K17),AA17+W17-Datos!J17-K17," - ")</f>
        <v xml:space="preserve"> - </v>
      </c>
      <c r="G17" s="343" t="str">
        <f>IF(ISNUMBER(IF(D_I="SI",Datos!I17,Datos!I17+Datos!AC17)),IF(D_I="SI",Datos!I17,Datos!I17+Datos!AC17)," - ")</f>
        <v xml:space="preserve"> - </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0</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t="str">
        <f>IF(ISNUMBER(IF(D_I="SI",Datos!K17,Datos!K17+Datos!AE17)),IF(D_I="SI",Datos!K17,Datos!K17+Datos!AE17)," - ")</f>
        <v xml:space="preserve"> - </v>
      </c>
      <c r="X17" s="231" t="str">
        <f>IF(ISNUMBER(Datos!Q17),Datos!Q17," - ")</f>
        <v xml:space="preserve"> - </v>
      </c>
      <c r="Y17" s="344">
        <f t="shared" ref="Y17:Y19" si="9">SUM(W17:X17)</f>
        <v>0</v>
      </c>
      <c r="Z17" s="345" t="str">
        <f>IF(ISNUMBER(Datos!CC17),Datos!CC17," - ")</f>
        <v xml:space="preserve"> - </v>
      </c>
      <c r="AA17" s="342" t="str">
        <f>IF(ISNUMBER(IF(D_I="SI",Datos!L17,Datos!L17+Datos!AF17)),IF(D_I="SI",Datos!L17,Datos!L17+Datos!AF17)," - ")</f>
        <v xml:space="preserve"> - </v>
      </c>
      <c r="AB17" s="344" t="str">
        <f>IF(ISNUMBER(Datos!R17),Datos!R17," - ")</f>
        <v xml:space="preserve"> - </v>
      </c>
      <c r="AC17" s="344" t="str">
        <f t="shared" si="8"/>
        <v xml:space="preserve"> - </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t="str">
        <f>IF(ISNUMBER(Datos!M17),Datos!M17," - ")</f>
        <v xml:space="preserve"> - </v>
      </c>
      <c r="AJ17" s="236" t="str">
        <f>IF(ISNUMBER(Datos!BW17),Datos!BW17," - ")</f>
        <v xml:space="preserve"> - </v>
      </c>
      <c r="AK17" s="237" t="str">
        <f>IF(ISNUMBER(Datos!BX17),Datos!BX17," - ")</f>
        <v xml:space="preserve"> - </v>
      </c>
      <c r="AL17" s="248" t="str">
        <f>IF(ISNUMBER(NºAsuntos!G17/NºAsuntos!E17),NºAsuntos!G17/NºAsuntos!E17," - ")</f>
        <v xml:space="preserve"> - </v>
      </c>
      <c r="AM17" s="265" t="str">
        <f>IF(ISNUMBER(((NºAsuntos!I17/NºAsuntos!G17)*11)/factor_trimestre),((NºAsuntos!I17/NºAsuntos!G17)*11)/factor_trimestre," - ")</f>
        <v xml:space="preserve"> - </v>
      </c>
      <c r="AN17" s="249" t="str">
        <f>IF(ISNUMBER('Resol  Asuntos'!D17/NºAsuntos!G17),'Resol  Asuntos'!D17/NºAsuntos!G17," - ")</f>
        <v xml:space="preserve"> - </v>
      </c>
      <c r="AO17" s="250" t="str">
        <f>IF(ISNUMBER((NºAsuntos!C17+NºAsuntos!E17)/NºAsuntos!G17),(NºAsuntos!C17+NºAsuntos!E17)/NºAsuntos!G17," - ")</f>
        <v xml:space="preserve"> - </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1</v>
      </c>
      <c r="F18" s="230" t="str">
        <f>IF(ISNUMBER(AA18+W18-H18-K18),AA18+W18-H18-K18," - ")</f>
        <v xml:space="preserve"> - </v>
      </c>
      <c r="G18" s="343">
        <f>IF(ISNUMBER(IF(D_I="SI",Datos!I18,Datos!I18+Datos!AC18)),IF(D_I="SI",Datos!I18,Datos!I18+Datos!AC18)," - ")</f>
        <v>70</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7</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432</v>
      </c>
      <c r="X18" s="231">
        <f>IF(ISNUMBER(Datos!Q18),Datos!Q18," - ")</f>
        <v>4</v>
      </c>
      <c r="Y18" s="344">
        <f t="shared" si="9"/>
        <v>436</v>
      </c>
      <c r="Z18" s="345" t="str">
        <f>IF(ISNUMBER(Datos!CC18),Datos!CC18," - ")</f>
        <v xml:space="preserve"> - </v>
      </c>
      <c r="AA18" s="342">
        <f>IF(ISNUMBER(Datos!L18),Datos!L18,"-")</f>
        <v>53</v>
      </c>
      <c r="AB18" s="344">
        <f>IF(ISNUMBER(Datos!R18),Datos!R18," - ")</f>
        <v>12</v>
      </c>
      <c r="AC18" s="344">
        <f t="shared" si="8"/>
        <v>65</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42</v>
      </c>
      <c r="AJ18" s="236" t="str">
        <f>IF(ISNUMBER(Datos!BW18),Datos!BW18," - ")</f>
        <v xml:space="preserve"> - </v>
      </c>
      <c r="AK18" s="237" t="str">
        <f>IF(ISNUMBER(Datos!BX18),Datos!BX18," - ")</f>
        <v xml:space="preserve"> - </v>
      </c>
      <c r="AL18" s="248">
        <f>IF(ISNUMBER(NºAsuntos!G18/NºAsuntos!E18),NºAsuntos!G18/NºAsuntos!E18," - ")</f>
        <v>1.051094890510949</v>
      </c>
      <c r="AM18" s="265">
        <f>IF(ISNUMBER(((NºAsuntos!I18/NºAsuntos!G18)*11)/factor_trimestre),((NºAsuntos!I18/NºAsuntos!G18)*11)/factor_trimestre," - ")</f>
        <v>0.36805555555555558</v>
      </c>
      <c r="AN18" s="249">
        <f>IF(ISNUMBER('Resol  Asuntos'!D18/NºAsuntos!G18),'Resol  Asuntos'!D18/NºAsuntos!G18," - ")</f>
        <v>9.7222222222222224E-2</v>
      </c>
      <c r="AO18" s="250">
        <f>IF(ISNUMBER((NºAsuntos!C18+NºAsuntos!E18)/NºAsuntos!G18),(NºAsuntos!C18+NºAsuntos!E18)/NºAsuntos!G18," - ")</f>
        <v>1.1134259259259258</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6</v>
      </c>
      <c r="F20" s="1012">
        <f>SUBTOTAL(9,F15:F19)</f>
        <v>1175</v>
      </c>
      <c r="G20" s="1013">
        <f>SUBTOTAL(9,G16:G19)</f>
        <v>1375</v>
      </c>
      <c r="H20" s="1012">
        <f t="shared" ref="H20:O20" si="12">SUBTOTAL(9,H15:H19)</f>
        <v>0</v>
      </c>
      <c r="I20" s="1014">
        <f t="shared" si="12"/>
        <v>0</v>
      </c>
      <c r="J20" s="1014">
        <f t="shared" si="12"/>
        <v>0</v>
      </c>
      <c r="K20" s="1014">
        <f t="shared" si="12"/>
        <v>0</v>
      </c>
      <c r="L20" s="1014">
        <f t="shared" si="12"/>
        <v>303</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2866</v>
      </c>
      <c r="X20" s="1014">
        <f t="shared" si="13"/>
        <v>336</v>
      </c>
      <c r="Y20" s="1015">
        <f t="shared" si="13"/>
        <v>2870</v>
      </c>
      <c r="Z20" s="1015">
        <f t="shared" si="13"/>
        <v>0</v>
      </c>
      <c r="AA20" s="1015">
        <f t="shared" si="13"/>
        <v>1381</v>
      </c>
      <c r="AB20" s="1015">
        <f t="shared" si="13"/>
        <v>507</v>
      </c>
      <c r="AC20" s="1015">
        <f t="shared" si="13"/>
        <v>1888</v>
      </c>
      <c r="AD20" s="1015">
        <f t="shared" si="13"/>
        <v>0</v>
      </c>
      <c r="AE20" s="1019">
        <f t="shared" si="13"/>
        <v>0</v>
      </c>
      <c r="AF20" s="1012">
        <f t="shared" si="13"/>
        <v>0</v>
      </c>
      <c r="AG20" s="1020">
        <f t="shared" si="13"/>
        <v>0</v>
      </c>
      <c r="AH20" s="1017">
        <f t="shared" si="13"/>
        <v>0</v>
      </c>
      <c r="AI20" s="1012">
        <f t="shared" si="13"/>
        <v>625</v>
      </c>
      <c r="AJ20" s="1014">
        <f t="shared" si="13"/>
        <v>0</v>
      </c>
      <c r="AK20" s="1017">
        <f t="shared" si="13"/>
        <v>0</v>
      </c>
      <c r="AL20" s="1021">
        <f>IF(ISNUMBER(NºAsuntos!G20/NºAsuntos!E20),NºAsuntos!G20/NºAsuntos!E20," - ")</f>
        <v>0.95597064709806534</v>
      </c>
      <c r="AM20" s="1021">
        <f>IF(ISNUMBER(((NºAsuntos!I20/NºAsuntos!G20)*11)/factor_trimestre),((NºAsuntos!I20/NºAsuntos!G20)*11)/factor_trimestre," - ")</f>
        <v>1.4455687369155619</v>
      </c>
      <c r="AN20" s="1022">
        <f>IF(ISNUMBER('Resol  Asuntos'!D20/NºAsuntos!G20),'Resol  Asuntos'!D20/NºAsuntos!G20," - ")</f>
        <v>0.21807397069085835</v>
      </c>
      <c r="AO20" s="1023">
        <f>IF(ISNUMBER((NºAsuntos!C20+NºAsuntos!E20)/NºAsuntos!G20),(NºAsuntos!C20+NºAsuntos!E20)/NºAsuntos!G20," - ")</f>
        <v>1.5258199581297975</v>
      </c>
      <c r="AP20" s="1024" t="str">
        <f t="shared" si="2"/>
        <v xml:space="preserve"> - </v>
      </c>
      <c r="AQ20" s="1024">
        <f>IF(ISNUMBER((H20-W20+K20)/(F20)),(H20-W20+K20)/(F20)," - ")</f>
        <v>-2.4391489361702128</v>
      </c>
      <c r="AR20" s="1025">
        <f>IF(ISNUMBER((Datos!P20-Datos!Q20)/(Datos!R20-Datos!P20+Datos!Q20)),(Datos!P20-Datos!Q20)/(Datos!R20-Datos!P20+Datos!Q20)," - ")</f>
        <v>-6.1111111111111109E-2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19</v>
      </c>
      <c r="F21" s="967">
        <f t="shared" si="15"/>
        <v>1212</v>
      </c>
      <c r="G21" s="968">
        <f t="shared" si="15"/>
        <v>1412</v>
      </c>
      <c r="H21" s="967">
        <f t="shared" si="15"/>
        <v>0</v>
      </c>
      <c r="I21" s="969">
        <f t="shared" si="15"/>
        <v>0</v>
      </c>
      <c r="J21" s="969">
        <f t="shared" si="15"/>
        <v>0</v>
      </c>
      <c r="K21" s="1028">
        <f t="shared" si="15"/>
        <v>0</v>
      </c>
      <c r="L21" s="969">
        <f t="shared" si="15"/>
        <v>947</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2907</v>
      </c>
      <c r="X21" s="968">
        <f t="shared" si="16"/>
        <v>1313</v>
      </c>
      <c r="Y21" s="975">
        <f t="shared" si="16"/>
        <v>3888</v>
      </c>
      <c r="Z21" s="975">
        <f t="shared" si="16"/>
        <v>0</v>
      </c>
      <c r="AA21" s="975">
        <f t="shared" si="16"/>
        <v>1418</v>
      </c>
      <c r="AB21" s="975">
        <f t="shared" si="16"/>
        <v>9104</v>
      </c>
      <c r="AC21" s="975">
        <f t="shared" si="16"/>
        <v>2002</v>
      </c>
      <c r="AD21" s="975">
        <f t="shared" si="16"/>
        <v>0</v>
      </c>
      <c r="AE21" s="977">
        <f t="shared" si="16"/>
        <v>0</v>
      </c>
      <c r="AF21" s="978">
        <f t="shared" si="16"/>
        <v>0</v>
      </c>
      <c r="AG21" s="979">
        <f t="shared" si="16"/>
        <v>0</v>
      </c>
      <c r="AH21" s="977">
        <f t="shared" si="16"/>
        <v>0</v>
      </c>
      <c r="AI21" s="967">
        <f t="shared" si="16"/>
        <v>1915</v>
      </c>
      <c r="AJ21" s="967">
        <f t="shared" si="16"/>
        <v>0</v>
      </c>
      <c r="AK21" s="977">
        <f t="shared" si="16"/>
        <v>0</v>
      </c>
      <c r="AL21" s="1031">
        <f>IF(ISNUMBER(NºAsuntos!G21/NºAsuntos!E21),NºAsuntos!G21/NºAsuntos!E21," - ")</f>
        <v>1.1688819390148553</v>
      </c>
      <c r="AM21" s="1032">
        <f>IF(ISNUMBER(((NºAsuntos!I21/NºAsuntos!G21)*11)/factor_trimestre),((NºAsuntos!I21/NºAsuntos!G21)*11)/factor_trimestre," - ")</f>
        <v>5.7260869565217396</v>
      </c>
      <c r="AN21" s="1032">
        <f>IF(ISNUMBER('Resol  Asuntos'!D21/NºAsuntos!G21),'Resol  Asuntos'!D21/NºAsuntos!G21," - ")</f>
        <v>0.32023411371237459</v>
      </c>
      <c r="AO21" s="1033">
        <f>IF(ISNUMBER((NºAsuntos!C21+NºAsuntos!E21)/NºAsuntos!G21),(NºAsuntos!C21+NºAsuntos!E21)/NºAsuntos!G21," - ")</f>
        <v>2.9678929765886286</v>
      </c>
      <c r="AP21" s="1034" t="str">
        <f t="shared" si="2"/>
        <v xml:space="preserve"> - </v>
      </c>
      <c r="AQ21" s="1035">
        <f>IF(OR(ISNUMBER(FIND("01",Criterios!A8,1)),ISNUMBER(FIND("02",Criterios!A8,1)),ISNUMBER(FIND("03",Criterios!A8,1)),ISNUMBER(FIND("04",Criterios!A8,1))),(I21-W21+K21)/(F21-K21),(H21-W21+K21)/(F21-K21))</f>
        <v>-2.3985148514851486</v>
      </c>
      <c r="AR21" s="1036">
        <f>IF(ISNUMBER((Datos!P21-Datos!Q21)/(Datos!R21-Datos!P21+Datos!Q21)),(Datos!P21-Datos!Q21)/(Datos!R21-Datos!P21+Datos!Q21)," - ")</f>
        <v>-3.8648363252375924E-2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564.79999999999995</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4.5246797978119151</v>
      </c>
      <c r="F23" s="257">
        <f>IF(ISNUMBER(STDEV(F8:F20)),STDEV(F8:F20),"-")</f>
        <v>657.02460633779413</v>
      </c>
      <c r="G23" s="258">
        <f>IF(ISNUMBER(STDEV(G8:G20)),STDEV(G8:G20),"-")</f>
        <v>708.21832791872873</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1375.4798071945659</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529.50650879582474</v>
      </c>
      <c r="AJ23" s="257">
        <f t="shared" si="20"/>
        <v>0</v>
      </c>
      <c r="AK23" s="259">
        <f t="shared" si="20"/>
        <v>0</v>
      </c>
      <c r="AL23" s="254">
        <f t="shared" si="20"/>
        <v>0.32118555908766233</v>
      </c>
      <c r="AM23" s="255">
        <f t="shared" si="20"/>
        <v>4.1347443047071559</v>
      </c>
      <c r="AN23" s="255">
        <f t="shared" si="20"/>
        <v>0.14898273703597428</v>
      </c>
      <c r="AO23" s="256">
        <f t="shared" si="20"/>
        <v>1.4225907889608884</v>
      </c>
      <c r="AP23" s="296" t="str">
        <f t="shared" si="20"/>
        <v>-</v>
      </c>
      <c r="AQ23" s="297">
        <f t="shared" si="20"/>
        <v>0.94118799555887189</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hNLS5Qf3kKNJJD7VFW6sREFILPal3kVFj/p/bqRGxmZpcl8Qg5hUKDh0a5cgLe7CO5saA2qeqj0PQii8nsZfGQ==" saltValue="1fJ5YLM+H6iNW/WRbJNP/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CANTABRIA</v>
      </c>
      <c r="E2" s="268"/>
    </row>
    <row r="3" spans="2:20" ht="17.25" customHeight="1">
      <c r="C3" s="272"/>
      <c r="D3" s="267" t="str">
        <f>Criterios!A10 &amp;"  "&amp;Criterios!B10</f>
        <v>Provincias  CANTABRIA</v>
      </c>
      <c r="E3" s="268"/>
    </row>
    <row r="4" spans="2:20" ht="17.25" customHeight="1" thickBot="1">
      <c r="D4" s="267" t="str">
        <f>Criterios!A11 &amp;"  "&amp;Criterios!B11</f>
        <v>Resumenes por Partidos Judiciales  SANTANDER</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f>IF(ISNUMBER((Datos!M9-Datos!W9)/Datos!W9),(Datos!M9-Datos!W9)/Datos!W9," - ")</f>
        <v>-0.21829105473965288</v>
      </c>
      <c r="I9" s="360">
        <f>IF(ISNUMBER((Tasas!C9-Datos!BE9)/Datos!BE9),(Tasas!C9-Datos!BE9)/Datos!BE9," - ")</f>
        <v>0.60159259339142779</v>
      </c>
      <c r="J9" s="359">
        <f>IF(ISNUMBER((Tasas!D9-Datos!BF9)/Datos!BF9),(Tasas!D9-Datos!BF9)/Datos!BF9," - ")</f>
        <v>0.44180050943275428</v>
      </c>
      <c r="K9" s="361">
        <f>IF(ISNUMBER((Tasas!E9-Datos!BG9)/Datos!BG9),(Tasas!E9-Datos!BG9)/Datos!BG9," - ")</f>
        <v>0.41282667057079248</v>
      </c>
      <c r="M9" t="e">
        <f>IF(Monitorios="SI",Datos!CE9,0)</f>
        <v>#REF!</v>
      </c>
      <c r="N9" t="e">
        <f>IF(Monitorios="SI",Datos!CF9,0)</f>
        <v>#REF!</v>
      </c>
      <c r="O9" t="e">
        <f>IF(Monitorios="SI",Datos!CG9,0)</f>
        <v>#REF!</v>
      </c>
      <c r="P9" t="e">
        <f>IF(Monitorios="SI",Datos!CH9,0)</f>
        <v>#REF!</v>
      </c>
      <c r="Q9">
        <f>IF(J_V="SI",0,Datos!AG9)</f>
        <v>169</v>
      </c>
      <c r="R9">
        <f>IF(J_V="SI",0,Datos!AH9)</f>
        <v>352</v>
      </c>
      <c r="S9">
        <f>IF(J_V="SI",0,Datos!AI9)</f>
        <v>339</v>
      </c>
      <c r="T9">
        <f>IF(J_V="SI",0,Datos!AJ9)</f>
        <v>182</v>
      </c>
    </row>
    <row r="10" spans="2:20" ht="14.25">
      <c r="B10" s="280" t="s">
        <v>273</v>
      </c>
      <c r="C10" s="7" t="str">
        <f>Datos!A10</f>
        <v>Jdos. Violencia contra la mujer</v>
      </c>
      <c r="D10" s="362">
        <f>IF(ISNUMBER((Datos!I10-Datos!S10)/Datos!S10),(Datos!I10-Datos!S10)/Datos!S10," - ")</f>
        <v>-9.7560975609756101E-2</v>
      </c>
      <c r="E10" s="358">
        <f>IF(ISNUMBER((Datos!J10-Datos!T10)/Datos!T10),(Datos!J10-Datos!T10)/Datos!T10," - ")</f>
        <v>0.36666666666666664</v>
      </c>
      <c r="F10" s="358">
        <f>IF(ISNUMBER((Datos!K10-Datos!U10)/Datos!U10),(Datos!K10-Datos!U10)/Datos!U10," - ")</f>
        <v>0.24242424242424243</v>
      </c>
      <c r="G10" s="359">
        <f>IF(ISNUMBER((Datos!L10-Datos!V10)/Datos!V10),(Datos!L10-Datos!V10)/Datos!V10," - ")</f>
        <v>-2.6315789473684209E-2</v>
      </c>
      <c r="H10" s="235">
        <f>IF(ISNUMBER((Datos!M10-Datos!W10)/Datos!W10),(Datos!M10-Datos!W10)/Datos!W10," - ")</f>
        <v>0.25</v>
      </c>
      <c r="I10" s="360">
        <f>IF(ISNUMBER((Tasas!C10-Datos!BE10)/Datos!BE10),(Tasas!C10-Datos!BE10)/Datos!BE10," - ")</f>
        <v>-0.21630295250320927</v>
      </c>
      <c r="J10" s="359">
        <f>IF(ISNUMBER((Tasas!D10-Datos!BF10)/Datos!BF10),(Tasas!D10-Datos!BF10)/Datos!BF10," - ")</f>
        <v>6.097560975609706E-3</v>
      </c>
      <c r="K10" s="361">
        <f>IF(ISNUMBER((Tasas!E10-Datos!BG10)/Datos!BG10),(Tasas!E10-Datos!BG10)/Datos!BG10," - ")</f>
        <v>-0.11576777739608381</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f>IF(ISNUMBER((Datos!M11-Datos!W11)/Datos!W11),(Datos!M11-Datos!W11)/Datos!W11," - ")</f>
        <v>-0.56387665198237891</v>
      </c>
      <c r="I11" s="360">
        <f>IF(ISNUMBER((Tasas!C11-Datos!BE11)/Datos!BE11),(Tasas!C11-Datos!BE11)/Datos!BE11," - ")</f>
        <v>0.37479571360599095</v>
      </c>
      <c r="J11" s="359">
        <f>IF(ISNUMBER((Tasas!D11-Datos!BF11)/Datos!BF11),(Tasas!D11-Datos!BF11)/Datos!BF11," - ")</f>
        <v>-0.5111438183347351</v>
      </c>
      <c r="K11" s="361">
        <f>IF(ISNUMBER((Tasas!E11-Datos!BG11)/Datos!BG11),(Tasas!E11-Datos!BG11)/Datos!BG11," - ")</f>
        <v>0.45084510055626875</v>
      </c>
      <c r="M11" t="e">
        <f>IF(Monitorios="SI",Datos!CE11,0)</f>
        <v>#REF!</v>
      </c>
      <c r="N11" t="e">
        <f>IF(Monitorios="SI",Datos!CF11,0)</f>
        <v>#REF!</v>
      </c>
      <c r="O11" t="e">
        <f>IF(Monitorios="SI",Datos!CG11,0)</f>
        <v>#REF!</v>
      </c>
      <c r="P11" t="e">
        <f>IF(Monitorios="SI",Datos!CH11,0)</f>
        <v>#REF!</v>
      </c>
      <c r="Q11">
        <f>IF(J_V="SI",0,Datos!AG11)</f>
        <v>260</v>
      </c>
      <c r="R11">
        <f>IF(J_V="SI",0,Datos!AH11)</f>
        <v>229</v>
      </c>
      <c r="S11">
        <f>IF(J_V="SI",0,Datos!AI11)</f>
        <v>323</v>
      </c>
      <c r="T11">
        <f>IF(J_V="SI",0,Datos!AJ11)</f>
        <v>166</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t="str">
        <f>IF(ISNUMBER((Datos!M12-Datos!W12)/Datos!W12),(Datos!M12-Datos!W12)/Datos!W12," - ")</f>
        <v xml:space="preserve"> - </v>
      </c>
      <c r="I12" s="360" t="str">
        <f>IF(ISNUMBER((Tasas!C12-Datos!BE12)/Datos!BE12),(Tasas!C12-Datos!BE12)/Datos!BE12," - ")</f>
        <v xml:space="preserve"> - </v>
      </c>
      <c r="J12" s="359" t="str">
        <f>IF(ISNUMBER((Tasas!D12-Datos!BF12)/Datos!BF12),(Tasas!D12-Datos!BF12)/Datos!BF12," - ")</f>
        <v xml:space="preserve"> - </v>
      </c>
      <c r="K12" s="36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-0.25904652498564046</v>
      </c>
      <c r="I14" s="367">
        <f>IF(ISNUMBER((Tasas!C14-Datos!BE14)/Datos!BE14),(Tasas!C14-Datos!BE14)/Datos!BE14," - ")</f>
        <v>0.55720850167202052</v>
      </c>
      <c r="J14" s="365">
        <f>IF(ISNUMBER((Tasas!D14-Datos!BF14)/Datos!BF14),(Tasas!D14-Datos!BF14)/Datos!BF14," - ")</f>
        <v>0.25616805301000989</v>
      </c>
      <c r="K14" s="368">
        <f>IF(ISNUMBER((Tasas!E14-Datos!BG14)/Datos!BG14),(Tasas!E14-Datos!BG14)/Datos!BG14," - ")</f>
        <v>0.40515912137030408</v>
      </c>
      <c r="M14" t="e">
        <f>IF(Monitorios="SI",Datos!CE14,0)</f>
        <v>#REF!</v>
      </c>
      <c r="N14" t="e">
        <f>IF(Monitorios="SI",Datos!CF14,0)</f>
        <v>#REF!</v>
      </c>
      <c r="O14" t="e">
        <f>IF(Monitorios="SI",Datos!CG14,0)</f>
        <v>#REF!</v>
      </c>
      <c r="P14" t="e">
        <f>IF(Monitorios="SI",Datos!CH14,0)</f>
        <v>#REF!</v>
      </c>
      <c r="Q14">
        <f>IF(J_V="SI",0,Datos!AG14)</f>
        <v>429</v>
      </c>
      <c r="R14">
        <f>IF(J_V="SI",0,Datos!AH14)</f>
        <v>581</v>
      </c>
      <c r="S14">
        <f>IF(J_V="SI",0,Datos!AI14)</f>
        <v>662</v>
      </c>
      <c r="T14">
        <f>IF(J_V="SI",0,Datos!AJ14)</f>
        <v>348</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f>IF(ISNUMBER(
   IF(D_I="SI",(Datos!I16-Datos!S16)/Datos!S16,(Datos!I16+Datos!AC16-(Datos!S16+Datos!AK16))/(Datos!S16+Datos!AK16))
     ),IF(D_I="SI",(Datos!I16-Datos!S16)/Datos!S16,(Datos!I16+Datos!AC16-(Datos!S16+Datos!AK16))/(Datos!S16+Datos!AK16))," - ")</f>
        <v>0.12889273356401384</v>
      </c>
      <c r="E16" s="358">
        <f>IF(ISNUMBER(
   IF(D_I="SI",(Datos!J16-Datos!T16)/Datos!T16,(Datos!J16+Datos!AD16-(Datos!T16+Datos!AL16))/(Datos!T16+Datos!AL16))
     ),IF(D_I="SI",(Datos!J16-Datos!T16)/Datos!T16,(Datos!J16+Datos!AD16-(Datos!T16+Datos!AL16))/(Datos!T16+Datos!AL16))," - ")</f>
        <v>3.604325190228274E-2</v>
      </c>
      <c r="F16" s="358">
        <f>IF(ISNUMBER(
   IF(D_I="SI",(Datos!K16-Datos!U16)/Datos!U16,(Datos!K16+Datos!AE16-(Datos!U16+Datos!AM16))/(Datos!U16+Datos!AM16))
     ),IF(D_I="SI",(Datos!K16-Datos!U16)/Datos!U16,(Datos!K16+Datos!AE16-(Datos!U16+Datos!AM16))/(Datos!U16+Datos!AM16))," - ")</f>
        <v>-5.6223342380767739E-2</v>
      </c>
      <c r="G16" s="359">
        <f>IF(ISNUMBER(
   IF(D_I="SI",(Datos!L16-Datos!V16)/Datos!V16,(Datos!L16+Datos!AF16-(Datos!V16+Datos!AN16))/(Datos!V16+Datos!AN16))
     ),IF(D_I="SI",(Datos!L16-Datos!V16)/Datos!V16,(Datos!L16+Datos!AF16-(Datos!V16+Datos!AN16))/(Datos!V16+Datos!AN16))," - ")</f>
        <v>0.21834862385321102</v>
      </c>
      <c r="H16" s="235">
        <f>IF(ISNUMBER((Datos!M16-Datos!W16)/Datos!W16),(Datos!M16-Datos!W16)/Datos!W16," - ")</f>
        <v>-0.10169491525423729</v>
      </c>
      <c r="I16" s="360">
        <f>IF(ISNUMBER((Tasas!C16-Datos!BE16)/Datos!BE16),(Tasas!C16-Datos!BE16)/Datos!BE16," - ")</f>
        <v>0.29092896504413784</v>
      </c>
      <c r="J16" s="359">
        <f>IF(ISNUMBER((Tasas!D16-Datos!BF16)/Datos!BF16),(Tasas!D16-Datos!BF16)/Datos!BF16," - ")</f>
        <v>-4.8180438143252964E-2</v>
      </c>
      <c r="K16" s="361">
        <f>IF(ISNUMBER((Tasas!E16-Datos!BG16)/Datos!BG16),(Tasas!E16-Datos!BG16)/Datos!BG16," - ")</f>
        <v>0.12889598288323942</v>
      </c>
    </row>
    <row r="17" spans="2:20" ht="14.25">
      <c r="B17" s="280" t="s">
        <v>437</v>
      </c>
      <c r="C17" s="7" t="str">
        <f>Datos!A17</f>
        <v xml:space="preserve">Jdos. 1ª Instª. e Instr.                        </v>
      </c>
      <c r="D17" s="362" t="str">
        <f>IF(ISNUMBER(
   IF(D_I="SI",(Datos!I17-Datos!S17)/Datos!S17,(Datos!I17+Datos!AC17-(Datos!S17+Datos!AK17))/(Datos!S17+Datos!AK17))
     ),IF(D_I="SI",(Datos!I17-Datos!S17)/Datos!S17,(Datos!I17+Datos!AC17-(Datos!S17+Datos!AK17))/(Datos!S17+Datos!AK17))," - ")</f>
        <v xml:space="preserve"> - </v>
      </c>
      <c r="E17" s="358" t="str">
        <f>IF(ISNUMBER(
   IF(D_I="SI",(Datos!J17-Datos!T17)/Datos!T17,(Datos!J17+Datos!AD17-(Datos!T17+Datos!AL17))/(Datos!T17+Datos!AL17))
     ),IF(D_I="SI",(Datos!J17-Datos!T17)/Datos!T17,(Datos!J17+Datos!AD17-(Datos!T17+Datos!AL17))/(Datos!T17+Datos!AL17))," - ")</f>
        <v xml:space="preserve"> - </v>
      </c>
      <c r="F17" s="358" t="str">
        <f>IF(ISNUMBER(
   IF(D_I="SI",(Datos!K17-Datos!U17)/Datos!U17,(Datos!K17+Datos!AE17-(Datos!U17+Datos!AM17))/(Datos!U17+Datos!AM17))
     ),IF(D_I="SI",(Datos!K17-Datos!U17)/Datos!U17,(Datos!K17+Datos!AE17-(Datos!U17+Datos!AM17))/(Datos!U17+Datos!AM17))," - ")</f>
        <v xml:space="preserve"> - </v>
      </c>
      <c r="G17" s="359" t="str">
        <f>IF(ISNUMBER(
   IF(D_I="SI",(Datos!L17-Datos!V17)/Datos!V17,(Datos!L17+Datos!AF17-(Datos!V17+Datos!AN17))/(Datos!V17+Datos!AN17))
     ),IF(D_I="SI",(Datos!L17-Datos!V17)/Datos!V17,(Datos!L17+Datos!AF17-(Datos!V17+Datos!AN17))/(Datos!V17+Datos!AN17))," - ")</f>
        <v xml:space="preserve"> - </v>
      </c>
      <c r="H17" s="235" t="str">
        <f>IF(ISNUMBER((Datos!M17-Datos!W17)/Datos!W17),(Datos!M17-Datos!W17)/Datos!W17," - ")</f>
        <v xml:space="preserve"> - </v>
      </c>
      <c r="I17" s="360" t="str">
        <f>IF(ISNUMBER((Tasas!C17-Datos!BE17)/Datos!BE17),(Tasas!C17-Datos!BE17)/Datos!BE17," - ")</f>
        <v xml:space="preserve"> - </v>
      </c>
      <c r="J17" s="359" t="str">
        <f>IF(ISNUMBER((Tasas!D17-Datos!BF17)/Datos!BF17),(Tasas!D17-Datos!BF17)/Datos!BF17," - ")</f>
        <v xml:space="preserve"> - </v>
      </c>
      <c r="K17" s="361" t="str">
        <f>IF(ISNUMBER((Tasas!E17-Datos!BG17)/Datos!BG17),(Tasas!E17-Datos!BG17)/Datos!BG17," - ")</f>
        <v xml:space="preserve"> - </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-0.11392405063291139</v>
      </c>
      <c r="E18" s="358">
        <f>IF(ISNUMBER(
   IF(D_I="SI",(Datos!J18-Datos!T18)/Datos!T18,(Datos!J18+Datos!AD18-(Datos!T18+Datos!AL18))/(Datos!T18+Datos!AL18))
     ),IF(D_I="SI",(Datos!J18-Datos!T18)/Datos!T18,(Datos!J18+Datos!AD18-(Datos!T18+Datos!AL18))/(Datos!T18+Datos!AL18))," - ")</f>
        <v>0.26851851851851855</v>
      </c>
      <c r="F18" s="358">
        <f>IF(ISNUMBER(
   IF(D_I="SI",(Datos!K18-Datos!U18)/Datos!U18,(Datos!K18+Datos!AE18-(Datos!U18+Datos!AM18))/(Datos!U18+Datos!AM18))
     ),IF(D_I="SI",(Datos!K18-Datos!U18)/Datos!U18,(Datos!K18+Datos!AE18-(Datos!U18+Datos!AM18))/(Datos!U18+Datos!AM18))," - ")</f>
        <v>0.24855491329479767</v>
      </c>
      <c r="G18" s="359">
        <f>IF(ISNUMBER(
   IF(D_I="SI",(Datos!L18-Datos!V18)/Datos!V18,(Datos!L18+Datos!AF18-(Datos!V18+Datos!AN18))/(Datos!V18+Datos!AN18))
     ),IF(D_I="SI",(Datos!L18-Datos!V18)/Datos!V18,(Datos!L18+Datos!AF18-(Datos!V18+Datos!AN18))/(Datos!V18+Datos!AN18))," - ")</f>
        <v>-0.10169491525423729</v>
      </c>
      <c r="H18" s="235">
        <f>IF(ISNUMBER((Datos!M18-Datos!W18)/Datos!W18),(Datos!M18-Datos!W18)/Datos!W18," - ")</f>
        <v>0.10526315789473684</v>
      </c>
      <c r="I18" s="360">
        <f>IF(ISNUMBER((Tasas!C18-Datos!BE18)/Datos!BE18),(Tasas!C18-Datos!BE18)/Datos!BE18," - ")</f>
        <v>-0.2805241682360326</v>
      </c>
      <c r="J18" s="359">
        <f>IF(ISNUMBER((Tasas!D18-Datos!BF18)/Datos!BF18),(Tasas!D18-Datos!BF18)/Datos!BF18," - ")</f>
        <v>-0.11476608187134502</v>
      </c>
      <c r="K18" s="361">
        <f>IF(ISNUMBER((Tasas!E18-Datos!BG18)/Datos!BG18),(Tasas!E18-Datos!BG18)/Datos!BG18," - ")</f>
        <v>-4.4056152927120805E-2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0.11336032388663968</v>
      </c>
      <c r="E20" s="364">
        <f>IF(ISNUMBER(
   IF(D_I="SI",(Datos!J20-Datos!T20)/Datos!T20,(Datos!J20+Datos!AD20-(Datos!T20+Datos!AL20))/(Datos!T20+Datos!AL20))
     ),IF(D_I="SI",(Datos!J20-Datos!T20)/Datos!T20,(Datos!J20+Datos!AD20-(Datos!T20+Datos!AL20))/(Datos!T20+Datos!AL20))," - ")</f>
        <v>6.2743707904998225E-2</v>
      </c>
      <c r="F20" s="364">
        <f>IF(ISNUMBER(
   IF(D_I="SI",(Datos!K20-Datos!U20)/Datos!U20,(Datos!K20+Datos!AE20-(Datos!U20+Datos!AM20))/(Datos!U20+Datos!AM20))
     ),IF(D_I="SI",(Datos!K20-Datos!U20)/Datos!U20,(Datos!K20+Datos!AE20-(Datos!U20+Datos!AM20))/(Datos!U20+Datos!AM20))," - ")</f>
        <v>-2.017094017094017E-2</v>
      </c>
      <c r="G20" s="365">
        <f>IF(ISNUMBER(
   IF(D_I="SI",(Datos!L20-Datos!V20)/Datos!V20,(Datos!L20+Datos!AF20-(Datos!V20+Datos!AN20))/(Datos!V20+Datos!AN20))
     ),IF(D_I="SI",(Datos!L20-Datos!V20)/Datos!V20,(Datos!L20+Datos!AF20-(Datos!V20+Datos!AN20))/(Datos!V20+Datos!AN20))," - ")</f>
        <v>0.20191470844212359</v>
      </c>
      <c r="H20" s="366">
        <f>IF(ISNUMBER((Datos!M20-Datos!W20)/Datos!W20),(Datos!M20-Datos!W20)/Datos!W20," - ")</f>
        <v>-9.0247452692867547E-2</v>
      </c>
      <c r="I20" s="367">
        <f>IF(ISNUMBER((Tasas!C20-Datos!BE20)/Datos!BE20),(Tasas!C20-Datos!BE20)/Datos!BE20," - ")</f>
        <v>0.22665754438004584</v>
      </c>
      <c r="J20" s="365">
        <f>IF(ISNUMBER((Tasas!D20-Datos!BF20)/Datos!BF20),(Tasas!D20-Datos!BF20)/Datos!BF20," - ")</f>
        <v>-7.151912042101799E-2</v>
      </c>
      <c r="K20" s="368">
        <f>IF(ISNUMBER((Tasas!E20-Datos!BG20)/Datos!BG20),(Tasas!E20-Datos!BG20)/Datos!BG20," - ")</f>
        <v>0.10035093134360396</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2.3579936796045701E-2</v>
      </c>
      <c r="E21" s="373">
        <f>IF(ISNUMBER(
   IF(J_V="SI",(Datos!J21-Datos!T21)/Datos!T21,(Datos!J21+Datos!Z21-(Datos!T21+Datos!AH21))/(Datos!T21+Datos!AH21))
     ),IF(J_V="SI",(Datos!J21-Datos!T21)/Datos!T21,(Datos!J21+Datos!Z21-(Datos!T21+Datos!AH21))/(Datos!T21+Datos!AH21))," - ")</f>
        <v>-0.36494538232373386</v>
      </c>
      <c r="F21" s="373">
        <f>IF(ISNUMBER(
   IF(J_V="SI",(Datos!K21-Datos!U21)/Datos!U21,(Datos!K21+Datos!AA21-(Datos!U21+Datos!AI21))/(Datos!U21+Datos!AI21))
     ),IF(J_V="SI",(Datos!K21-Datos!U21)/Datos!U21,(Datos!K21+Datos!AA21-(Datos!U21+Datos!AI21))/(Datos!U21+Datos!AI21))," - ")</f>
        <v>-0.27699189940756863</v>
      </c>
      <c r="G21" s="374">
        <f>IF(ISNUMBER(
   IF(J_V="SI",(Datos!L21-Datos!V21)/Datos!V21,(Datos!L21+Datos!AB21-(Datos!V21+Datos!AJ21))/(Datos!V21+Datos!AJ21))
     ),IF(J_V="SI",(Datos!L21-Datos!V21)/Datos!V21,(Datos!L21+Datos!AB21-(Datos!V21+Datos!AJ21))/(Datos!V21+Datos!AJ21))," - ")</f>
        <v>-6.5192465192465188E-2</v>
      </c>
      <c r="H21" s="375">
        <f>IF(ISNUMBER((Datos!M21-Datos!W21)/Datos!W21),(Datos!M21-Datos!W21)/Datos!W21," - ")</f>
        <v>-0.21128500823723229</v>
      </c>
      <c r="I21" s="372">
        <f>IF(ISNUMBER((Tasas!C21-Datos!BE21)/Datos!BE21),(Tasas!C21-Datos!BE21)/Datos!BE21," - ")</f>
        <v>0.29294199337677601</v>
      </c>
      <c r="J21" s="373">
        <f>IF(ISNUMBER((Tasas!D21-Datos!BF21)/Datos!BF21),(Tasas!D21-Datos!BF21)/Datos!BF21," - ")</f>
        <v>8.1084226332673565E-2</v>
      </c>
      <c r="K21" s="374">
        <f>IF(ISNUMBER((Tasas!E21-Datos!BG21)/Datos!BG21),(Tasas!E21-Datos!BG21)/Datos!BG21," - ")</f>
        <v>0.20348300286142793</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0.13130634046092546</v>
      </c>
      <c r="E23" s="283">
        <f t="shared" si="1"/>
        <v>0.1603160947575894</v>
      </c>
      <c r="F23" s="283">
        <f t="shared" si="1"/>
        <v>0.16446563473767978</v>
      </c>
      <c r="G23" s="284">
        <f t="shared" si="1"/>
        <v>0.1613765245298856</v>
      </c>
      <c r="H23" s="290">
        <f t="shared" si="1"/>
        <v>0.26289421187132722</v>
      </c>
      <c r="I23" s="282">
        <f t="shared" si="1"/>
        <v>0.34861982667322761</v>
      </c>
      <c r="J23" s="283">
        <f t="shared" si="1"/>
        <v>0.30068698778164443</v>
      </c>
      <c r="K23" s="284">
        <f t="shared" si="1"/>
        <v>0.23238706202963835</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Z3nh/FbNv9pvkqDo5L2iG36oMaTdaiRwEXuKJ1SQfk5pszpeeiaLGk3x83KpOvrPBm1i5paMEBpE3mQ40RmsDw==" saltValue="fuYxa9eaM9ySFyj2H2T6Pw=="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2023-06-06T07:33:42Z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